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35" windowWidth="20115" windowHeight="7500" firstSheet="1" activeTab="6"/>
  </bookViews>
  <sheets>
    <sheet name="Results Senior" sheetId="4" r:id="rId1"/>
    <sheet name="Cum Men" sheetId="5" r:id="rId2"/>
    <sheet name="cum Women" sheetId="6" r:id="rId3"/>
    <sheet name="Team Results" sheetId="7" r:id="rId4"/>
    <sheet name="Awards Senior" sheetId="8" r:id="rId5"/>
    <sheet name="Results Junior" sheetId="9" r:id="rId6"/>
    <sheet name="Cum Junior" sheetId="10" r:id="rId7"/>
    <sheet name="Awards Junior" sheetId="11" r:id="rId8"/>
  </sheets>
  <definedNames>
    <definedName name="_xlnm._FilterDatabase" localSheetId="0" hidden="1">'Results Senior'!$A$7:$K$7</definedName>
    <definedName name="AwardsJuniorCurrent">'Awards Junior'!$D$5:$D$44</definedName>
    <definedName name="AwardsJuniorPreRacePredictionCol">'Awards Junior'!$X$4</definedName>
    <definedName name="AwardsJuniorPrevRace">'Awards Junior'!$W$5:$W$44</definedName>
    <definedName name="AwardsJuniorRefCol">'Awards Junior'!$A$4</definedName>
    <definedName name="AwardsSeniorCurrent">'Awards Senior'!$D$6:$D$112</definedName>
    <definedName name="AwardsSeniorPreRacePredictionCol">'Awards Senior'!$AB$5</definedName>
    <definedName name="AwardsSeniorPrevRace">'Awards Senior'!$AA$6:$AA$112</definedName>
    <definedName name="AwardsSeniorRefCol">'Awards Senior'!$A$5</definedName>
    <definedName name="CumJuniorAwardsRefCol">'Cum Junior'!$M$8</definedName>
    <definedName name="CumJuniorClubCodeCol">'Cum Junior'!$D$8</definedName>
    <definedName name="CumJuniorEstMaxCol">'Cum Junior'!$AI$8</definedName>
    <definedName name="CumJuniorFirstAnalCol">'Cum Junior'!$U$8</definedName>
    <definedName name="CumJuniorFormulaLastRacePredictor">'Cum Junior'!$AB$2:$AI$2</definedName>
    <definedName name="CumJuniorFormulaPosition">'Cum Junior'!$B$4</definedName>
    <definedName name="CumJuniorFormulaTotal">'Cum Junior'!$K$2:$T$2</definedName>
    <definedName name="CumJuniorLastAnalCol">'Cum Junior'!$Z$8</definedName>
    <definedName name="CumJuniorLastCol">'Cum Junior'!$AM$8</definedName>
    <definedName name="CumJuniorMakeFirstCol">'Cum Junior'!$AJ$8</definedName>
    <definedName name="CumJuniorNameCol">'Cum Junior'!$C$8</definedName>
    <definedName name="CumJuniorPositionCol">'Cum Junior'!$A$8</definedName>
    <definedName name="CumJuniorPrevNoOfRacesCol">'Cum Junior'!$AF$8</definedName>
    <definedName name="CumJuniorPrevPointsCol">'Cum Junior'!$AG$8</definedName>
    <definedName name="CumJuniorR1Col">'Cum Junior'!$E$8</definedName>
    <definedName name="CumJuniorR2Col">'Cum Junior'!$F$8</definedName>
    <definedName name="CumJuniorR3Col">'Cum Junior'!$G$8</definedName>
    <definedName name="CumJuniorR4Col">'Cum Junior'!$H$8</definedName>
    <definedName name="CumJuniorR5Col">'Cum Junior'!$I$8</definedName>
    <definedName name="CumJuniorR6Col">'Cum Junior'!$J$8</definedName>
    <definedName name="CumJuniorRacesRunCol">'Cum Junior'!$O$8</definedName>
    <definedName name="CumJuniorTotalCol">'Cum Junior'!$K$8</definedName>
    <definedName name="CumJuniorU11B">'Cum Junior'!$A$9:$K$30</definedName>
    <definedName name="CumJuniorU11G">'Cum Junior'!$A$32:$K$61</definedName>
    <definedName name="CumJuniorU13B">'Cum Junior'!$A$63:$K$77</definedName>
    <definedName name="CumJuniorU13G">'Cum Junior'!$A$79:$K$98</definedName>
    <definedName name="CumJuniorU15B">'Cum Junior'!$A$100:$K$112</definedName>
    <definedName name="CumJuniorU15G">'Cum Junior'!$A$114:$K$126</definedName>
    <definedName name="CumJuniorU17B">'Cum Junior'!$A$128:$K$131</definedName>
    <definedName name="CumJuniorU17G">'Cum Junior'!$A$133:$K$136</definedName>
    <definedName name="CumJuniorWeightedSortCol">'Cum Junior'!$T$8</definedName>
    <definedName name="CumMenAwardsRefCol">'Cum Men'!$O$6</definedName>
    <definedName name="CumMenClubCodeCol">'Cum Men'!$F$6</definedName>
    <definedName name="CumMenEligibleCol">'Cum Men'!$N$6</definedName>
    <definedName name="CumMenESPositionCol">'Cum Men'!$B$6</definedName>
    <definedName name="CumMenEstMaxCol">'Cum Men'!$AM$6</definedName>
    <definedName name="CumMenFirstAnalCol">'Cum Men'!$Y$6</definedName>
    <definedName name="CumMenFormulaLastRacePredictor">'Cum Men'!$AF$2:$AM$2</definedName>
    <definedName name="CumMenFormulaPosition">'Cum Men'!$C$3:$D$3</definedName>
    <definedName name="CumMenFormulaTotal">'Cum Men'!$M$2:$X$2</definedName>
    <definedName name="CumMenLastAnalCol">'Cum Men'!$AD$6</definedName>
    <definedName name="CumMenLastCol">'Cum Men'!$AQ$6</definedName>
    <definedName name="CumMenMakeFirstCol">'Cum Men'!$AN$6</definedName>
    <definedName name="CumMenNameCol">'Cum Men'!$E$6</definedName>
    <definedName name="CumMenPositionCol">'Cum Men'!$A$6</definedName>
    <definedName name="CumMenPrevNoOfRacesCol">'Cum Men'!$AJ$6</definedName>
    <definedName name="CumMenPrevPointsCol">'Cum Men'!$AK$6</definedName>
    <definedName name="CumMenR1Col">'Cum Men'!$G$6</definedName>
    <definedName name="CumMenR2Col">'Cum Men'!$H$6</definedName>
    <definedName name="CumMenR3Col">'Cum Men'!$I$6</definedName>
    <definedName name="CumMenR4Col">'Cum Men'!$J$6</definedName>
    <definedName name="CumMenR5Col">'Cum Men'!$K$6</definedName>
    <definedName name="CumMenR6Col">'Cum Men'!$L$6</definedName>
    <definedName name="CumMenRace2Input">'Cum Men'!$H$2</definedName>
    <definedName name="CumMenRacesRunCol">'Cum Men'!$Q$6</definedName>
    <definedName name="CumMenTotalCol">'Cum Men'!$M$6</definedName>
    <definedName name="CumMenweightedSortCol">'Cum Men'!$X$6</definedName>
    <definedName name="CumWomenAwardsRefCol">'cum Women'!$O$6</definedName>
    <definedName name="CumWomenClubCodeCol">'cum Women'!$F$6</definedName>
    <definedName name="CumWomenEligibleCol">'cum Women'!$N$6</definedName>
    <definedName name="CumWomenESPositionCol">'cum Women'!$B$6</definedName>
    <definedName name="CumWomenEstMaxCol">'cum Women'!$AM$6</definedName>
    <definedName name="CumWomenFirstAnalCol">'cum Women'!$Y$6</definedName>
    <definedName name="CumWomenFormulaLastRacePredictor">'cum Women'!$AF$2:$AM$2</definedName>
    <definedName name="CumWomenFormulaPosition">'cum Women'!$C$3:$D$3</definedName>
    <definedName name="CumWomenFormulaTotal">'cum Women'!$M$2:$X$2</definedName>
    <definedName name="CumWomenLastAnalCol">'cum Women'!$AD$6</definedName>
    <definedName name="CumWomenLastCol">'cum Women'!$AQ$6</definedName>
    <definedName name="CumWomenMakeFirstCol">'cum Women'!$AN$6</definedName>
    <definedName name="CumWomenNameCol">'cum Women'!$E$6</definedName>
    <definedName name="CumWomenPositionCol">'cum Women'!$A$6</definedName>
    <definedName name="CumWomenPrevNoOfRacesCol">'cum Women'!$AJ$6</definedName>
    <definedName name="CumWomenPrevPointsCol">'cum Women'!$AK$6</definedName>
    <definedName name="CumWomenR1Col">'cum Women'!$G$6</definedName>
    <definedName name="CumWomenR2Col">'cum Women'!$H$6</definedName>
    <definedName name="CumWomenR3Col">'cum Women'!$I$6</definedName>
    <definedName name="CumWomenR4Col">'cum Women'!$J$6</definedName>
    <definedName name="CumWomenR5Col">'cum Women'!$K$6</definedName>
    <definedName name="CumWomenR6Col">'cum Women'!$L$6</definedName>
    <definedName name="CumWomenRacesRunCol">'cum Women'!$Q$6</definedName>
    <definedName name="CumWomenTotalCol">'cum Women'!$M$6</definedName>
    <definedName name="CumWomenWeightedSortCol">'cum Women'!$X$6</definedName>
    <definedName name="Men_35">'Cum Men'!$A$62:$M$105</definedName>
    <definedName name="Men_40">'Cum Men'!$A$107:$M$166</definedName>
    <definedName name="Men_45">'Cum Men'!$A$168:$M$215</definedName>
    <definedName name="Men_50">'Cum Men'!$A$217:$M$294</definedName>
    <definedName name="Men_55">'Cum Men'!$A$296:$M$361</definedName>
    <definedName name="Men_60">'Cum Men'!$A$363:$M$409</definedName>
    <definedName name="Men_65">'Cum Men'!$A$411:$M$443</definedName>
    <definedName name="Men_70">'Cum Men'!$A$445:$M$458</definedName>
    <definedName name="_xlnm.Print_Area" localSheetId="7">'Awards Junior'!$C$2:$H$55</definedName>
    <definedName name="_xlnm.Print_Area" localSheetId="4">'Awards Senior'!$C$3:$H$127</definedName>
    <definedName name="_xlnm.Print_Area" localSheetId="6">'Cum Junior'!$A$9:$K$133</definedName>
    <definedName name="_xlnm.Print_Area" localSheetId="1">'Cum Men'!$A$7:$N$458</definedName>
    <definedName name="_xlnm.Print_Area" localSheetId="2">'cum Women'!$A$7:$N$317</definedName>
    <definedName name="_xlnm.Print_Area" localSheetId="5">'Results Junior'!$A$13:$G$82</definedName>
    <definedName name="_xlnm.Print_Area" localSheetId="3">'Team Results'!$A$16:$AK$79</definedName>
    <definedName name="_xlnm.Print_Titles" localSheetId="7">'Awards Junior'!$2:$4</definedName>
    <definedName name="_xlnm.Print_Titles" localSheetId="4">'Awards Senior'!$3:$5</definedName>
    <definedName name="_xlnm.Print_Titles" localSheetId="6">'Cum Junior'!$6:$8</definedName>
    <definedName name="_xlnm.Print_Titles" localSheetId="1">'Cum Men'!$4:$6</definedName>
    <definedName name="_xlnm.Print_Titles" localSheetId="2">'cum Women'!$4:$6</definedName>
    <definedName name="_xlnm.Print_Titles" localSheetId="5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Men'!$A$7:$M$60</definedName>
    <definedName name="SeniorWomen">'cum Women'!$A$7:$M$47</definedName>
    <definedName name="TeamFormula1">'Team Results'!$B$1:$AK$1</definedName>
    <definedName name="TeamPointsByRace1">'Team Results'!$B$85:$S$91</definedName>
    <definedName name="TeamPointsByRace2">'Team Results'!$U$85:$AL$91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Results'!$B$3:$S$3</definedName>
    <definedName name="TeamResultsFigs">'Team Results'!$B$19:$S$39</definedName>
    <definedName name="TeamResultsFigs2">'Team Results'!$B$44:$S$54</definedName>
    <definedName name="TeamResultsHeaderRow">'Team Results'!$A$18</definedName>
    <definedName name="TeamResultsPreviousRaceHeader">'Team Results'!$A$117</definedName>
    <definedName name="TeamResultsTable">'Team Results'!$A$16:$AL$60</definedName>
    <definedName name="TeamResultsTotalRow">'Team Results'!$A$40</definedName>
    <definedName name="ToFile1">'Team Results'!$A$15</definedName>
    <definedName name="ToFile10">'Cum Junior'!$P$3</definedName>
    <definedName name="ToFile2">'Team Results'!$T$15</definedName>
    <definedName name="ToFile3">'Cum Men'!$F$5</definedName>
    <definedName name="ToFile4">'cum Women'!$F$5</definedName>
    <definedName name="ToFile5">'Cum Junior'!$D$7</definedName>
    <definedName name="ToFile6">'Team Results'!$R$16</definedName>
    <definedName name="ToFile7">'Team Results'!$AK$16</definedName>
    <definedName name="ToFile8">'Cum Men'!$R$3</definedName>
    <definedName name="ToFile9">'cum Women'!$R$3</definedName>
    <definedName name="Women35">'cum Women'!$A$49:$M$80</definedName>
    <definedName name="Women40">'cum Women'!$A$82:$M$117</definedName>
    <definedName name="Women45">'cum Women'!$A$119:$M$174</definedName>
    <definedName name="Women50">'cum Women'!$A$176:$M$225</definedName>
    <definedName name="Women55">'cum Women'!$A$227:$M$259</definedName>
    <definedName name="Women60">'cum Women'!$A$261:$M$296</definedName>
    <definedName name="Women65">'cum Women'!$A$298:$M$308</definedName>
    <definedName name="Women70">'cum Women'!$A$310:$M$317</definedName>
  </definedNames>
  <calcPr calcId="125725"/>
</workbook>
</file>

<file path=xl/calcChain.xml><?xml version="1.0" encoding="utf-8"?>
<calcChain xmlns="http://schemas.openxmlformats.org/spreadsheetml/2006/main">
  <c r="AH43" i="11"/>
  <c r="V43"/>
  <c r="S43"/>
  <c r="I43"/>
  <c r="C43"/>
  <c r="AH42"/>
  <c r="V42"/>
  <c r="S42"/>
  <c r="C42"/>
  <c r="AH41"/>
  <c r="V41"/>
  <c r="S41"/>
  <c r="C41"/>
  <c r="AH38"/>
  <c r="V38"/>
  <c r="S38"/>
  <c r="I38"/>
  <c r="M38" s="1"/>
  <c r="C38"/>
  <c r="AH37"/>
  <c r="V37"/>
  <c r="S37"/>
  <c r="C37"/>
  <c r="AH36"/>
  <c r="V36"/>
  <c r="S36"/>
  <c r="C36"/>
  <c r="AH33"/>
  <c r="V33"/>
  <c r="S33"/>
  <c r="C33"/>
  <c r="AH32"/>
  <c r="V32"/>
  <c r="S32"/>
  <c r="C32"/>
  <c r="AH31"/>
  <c r="V31"/>
  <c r="S31"/>
  <c r="C31"/>
  <c r="AH28"/>
  <c r="V28"/>
  <c r="S28"/>
  <c r="C28"/>
  <c r="AH27"/>
  <c r="V27"/>
  <c r="S27"/>
  <c r="C27"/>
  <c r="AH26"/>
  <c r="V26"/>
  <c r="S26"/>
  <c r="C26"/>
  <c r="AH23"/>
  <c r="V23"/>
  <c r="S23"/>
  <c r="C23"/>
  <c r="AH22"/>
  <c r="V22"/>
  <c r="S22"/>
  <c r="C22"/>
  <c r="AH21"/>
  <c r="V21"/>
  <c r="S21"/>
  <c r="C21"/>
  <c r="AH18"/>
  <c r="V18"/>
  <c r="S18"/>
  <c r="C18"/>
  <c r="AH17"/>
  <c r="V17"/>
  <c r="S17"/>
  <c r="C17"/>
  <c r="AH16"/>
  <c r="V16"/>
  <c r="S16"/>
  <c r="C16"/>
  <c r="AH13"/>
  <c r="V13"/>
  <c r="S13"/>
  <c r="C13"/>
  <c r="AH12"/>
  <c r="V12"/>
  <c r="S12"/>
  <c r="C12"/>
  <c r="AH11"/>
  <c r="V11"/>
  <c r="S11"/>
  <c r="C11"/>
  <c r="AH8"/>
  <c r="V8"/>
  <c r="S8"/>
  <c r="C8"/>
  <c r="AH7"/>
  <c r="V7"/>
  <c r="S7"/>
  <c r="C7"/>
  <c r="AH6"/>
  <c r="V6"/>
  <c r="S6"/>
  <c r="I6"/>
  <c r="H6" s="1"/>
  <c r="C6"/>
  <c r="N3"/>
  <c r="M3"/>
  <c r="G3"/>
  <c r="I31" s="1"/>
  <c r="R135" i="10"/>
  <c r="O135"/>
  <c r="P135" s="1"/>
  <c r="N135"/>
  <c r="K135"/>
  <c r="R134"/>
  <c r="O134"/>
  <c r="P134" s="1"/>
  <c r="N134"/>
  <c r="K134"/>
  <c r="Q133"/>
  <c r="R130"/>
  <c r="O130"/>
  <c r="P130" s="1"/>
  <c r="N130"/>
  <c r="K130"/>
  <c r="O129"/>
  <c r="P129" s="1"/>
  <c r="N129"/>
  <c r="K129"/>
  <c r="Q128"/>
  <c r="R129" s="1"/>
  <c r="R125"/>
  <c r="O125"/>
  <c r="P125" s="1"/>
  <c r="N125"/>
  <c r="K125"/>
  <c r="R124"/>
  <c r="O124"/>
  <c r="P124" s="1"/>
  <c r="N124"/>
  <c r="K124"/>
  <c r="R123"/>
  <c r="O123"/>
  <c r="P123" s="1"/>
  <c r="N123"/>
  <c r="K123"/>
  <c r="R122"/>
  <c r="O122"/>
  <c r="P122" s="1"/>
  <c r="N122"/>
  <c r="K122"/>
  <c r="R121"/>
  <c r="O121"/>
  <c r="P121" s="1"/>
  <c r="N121"/>
  <c r="K121"/>
  <c r="R120"/>
  <c r="O120"/>
  <c r="P120" s="1"/>
  <c r="N120"/>
  <c r="K120"/>
  <c r="R119"/>
  <c r="O119"/>
  <c r="P119" s="1"/>
  <c r="N119"/>
  <c r="K119"/>
  <c r="R118"/>
  <c r="O118"/>
  <c r="P118" s="1"/>
  <c r="N118"/>
  <c r="K118"/>
  <c r="R117"/>
  <c r="O117"/>
  <c r="P117" s="1"/>
  <c r="N117"/>
  <c r="K117"/>
  <c r="R116"/>
  <c r="O116"/>
  <c r="P116" s="1"/>
  <c r="N116"/>
  <c r="K116"/>
  <c r="O115"/>
  <c r="P115" s="1"/>
  <c r="N115"/>
  <c r="K115"/>
  <c r="Q114"/>
  <c r="R115" s="1"/>
  <c r="R111"/>
  <c r="O111"/>
  <c r="P111" s="1"/>
  <c r="K111"/>
  <c r="N111" s="1"/>
  <c r="R110"/>
  <c r="O110"/>
  <c r="P110" s="1"/>
  <c r="K110"/>
  <c r="N110" s="1"/>
  <c r="R109"/>
  <c r="O109"/>
  <c r="P109" s="1"/>
  <c r="N109"/>
  <c r="K109"/>
  <c r="R108"/>
  <c r="O108"/>
  <c r="P108" s="1"/>
  <c r="N108"/>
  <c r="K108"/>
  <c r="R107"/>
  <c r="O107"/>
  <c r="P107" s="1"/>
  <c r="N107"/>
  <c r="K107"/>
  <c r="R106"/>
  <c r="O106"/>
  <c r="P106" s="1"/>
  <c r="N106"/>
  <c r="K106"/>
  <c r="R105"/>
  <c r="O105"/>
  <c r="P105" s="1"/>
  <c r="N105"/>
  <c r="K105"/>
  <c r="R104"/>
  <c r="O104"/>
  <c r="P104" s="1"/>
  <c r="N104"/>
  <c r="K104"/>
  <c r="R103"/>
  <c r="O103"/>
  <c r="P103" s="1"/>
  <c r="N103"/>
  <c r="K103"/>
  <c r="R102"/>
  <c r="O102"/>
  <c r="P102" s="1"/>
  <c r="N102"/>
  <c r="K102"/>
  <c r="O101"/>
  <c r="P101" s="1"/>
  <c r="N101"/>
  <c r="K101"/>
  <c r="Q100"/>
  <c r="R101" s="1"/>
  <c r="R97"/>
  <c r="P97"/>
  <c r="O97"/>
  <c r="N97"/>
  <c r="K97"/>
  <c r="R96"/>
  <c r="P96"/>
  <c r="O96"/>
  <c r="N96"/>
  <c r="K96"/>
  <c r="R95"/>
  <c r="P95"/>
  <c r="O95"/>
  <c r="N95"/>
  <c r="K95"/>
  <c r="R94"/>
  <c r="P94"/>
  <c r="O94"/>
  <c r="N94"/>
  <c r="K94"/>
  <c r="R93"/>
  <c r="P93"/>
  <c r="O93"/>
  <c r="N93"/>
  <c r="K93"/>
  <c r="R92"/>
  <c r="P92"/>
  <c r="O92"/>
  <c r="N92"/>
  <c r="K92"/>
  <c r="R91"/>
  <c r="P91"/>
  <c r="O91"/>
  <c r="N91"/>
  <c r="K91"/>
  <c r="R90"/>
  <c r="P90"/>
  <c r="O90"/>
  <c r="N90"/>
  <c r="K90"/>
  <c r="R89"/>
  <c r="P89"/>
  <c r="O89"/>
  <c r="N89"/>
  <c r="K89"/>
  <c r="R88"/>
  <c r="P88"/>
  <c r="O88"/>
  <c r="N88"/>
  <c r="K88"/>
  <c r="R87"/>
  <c r="P87"/>
  <c r="O87"/>
  <c r="N87"/>
  <c r="K87"/>
  <c r="R86"/>
  <c r="P86"/>
  <c r="O86"/>
  <c r="N86"/>
  <c r="K86"/>
  <c r="R85"/>
  <c r="P85"/>
  <c r="O85"/>
  <c r="N85"/>
  <c r="K85"/>
  <c r="R84"/>
  <c r="P84"/>
  <c r="O84"/>
  <c r="N84"/>
  <c r="K84"/>
  <c r="R83"/>
  <c r="P83"/>
  <c r="O83"/>
  <c r="N83"/>
  <c r="K83"/>
  <c r="R82"/>
  <c r="P82"/>
  <c r="O82"/>
  <c r="N82"/>
  <c r="K82"/>
  <c r="R81"/>
  <c r="P81"/>
  <c r="O81"/>
  <c r="N81"/>
  <c r="K81"/>
  <c r="P80"/>
  <c r="O80"/>
  <c r="N80"/>
  <c r="K80"/>
  <c r="Q79"/>
  <c r="R80" s="1"/>
  <c r="R76"/>
  <c r="O76"/>
  <c r="P76" s="1"/>
  <c r="K76"/>
  <c r="N76" s="1"/>
  <c r="R75"/>
  <c r="O75"/>
  <c r="P75" s="1"/>
  <c r="K75"/>
  <c r="N75" s="1"/>
  <c r="R74"/>
  <c r="O74"/>
  <c r="P74" s="1"/>
  <c r="K74"/>
  <c r="N74" s="1"/>
  <c r="R73"/>
  <c r="O73"/>
  <c r="P73" s="1"/>
  <c r="K73"/>
  <c r="N73" s="1"/>
  <c r="R72"/>
  <c r="O72"/>
  <c r="P72" s="1"/>
  <c r="K72"/>
  <c r="N72" s="1"/>
  <c r="R71"/>
  <c r="O71"/>
  <c r="P71" s="1"/>
  <c r="K71"/>
  <c r="N71" s="1"/>
  <c r="R70"/>
  <c r="O70"/>
  <c r="P70" s="1"/>
  <c r="K70"/>
  <c r="N70" s="1"/>
  <c r="R69"/>
  <c r="O69"/>
  <c r="P69" s="1"/>
  <c r="K69"/>
  <c r="N69" s="1"/>
  <c r="R68"/>
  <c r="O68"/>
  <c r="P68" s="1"/>
  <c r="K68"/>
  <c r="N68" s="1"/>
  <c r="R67"/>
  <c r="O67"/>
  <c r="P67" s="1"/>
  <c r="K67"/>
  <c r="N67" s="1"/>
  <c r="R66"/>
  <c r="O66"/>
  <c r="P66" s="1"/>
  <c r="K66"/>
  <c r="N66" s="1"/>
  <c r="R65"/>
  <c r="O65"/>
  <c r="P65" s="1"/>
  <c r="K65"/>
  <c r="N65" s="1"/>
  <c r="O64"/>
  <c r="P64" s="1"/>
  <c r="K64"/>
  <c r="N64" s="1"/>
  <c r="Q63"/>
  <c r="R64" s="1"/>
  <c r="R60"/>
  <c r="P60"/>
  <c r="O60"/>
  <c r="N60"/>
  <c r="K60"/>
  <c r="R59"/>
  <c r="P59"/>
  <c r="O59"/>
  <c r="N59"/>
  <c r="K59"/>
  <c r="R58"/>
  <c r="P58"/>
  <c r="O58"/>
  <c r="N58"/>
  <c r="K58"/>
  <c r="R57"/>
  <c r="P57"/>
  <c r="O57"/>
  <c r="N57"/>
  <c r="K57"/>
  <c r="R56"/>
  <c r="P56"/>
  <c r="O56"/>
  <c r="N56"/>
  <c r="K56"/>
  <c r="R55"/>
  <c r="P55"/>
  <c r="O55"/>
  <c r="N55"/>
  <c r="K55"/>
  <c r="R54"/>
  <c r="P54"/>
  <c r="O54"/>
  <c r="N54"/>
  <c r="K54"/>
  <c r="R53"/>
  <c r="P53"/>
  <c r="O53"/>
  <c r="N53"/>
  <c r="K53"/>
  <c r="R52"/>
  <c r="P52"/>
  <c r="O52"/>
  <c r="N52"/>
  <c r="K52"/>
  <c r="R51"/>
  <c r="P51"/>
  <c r="O51"/>
  <c r="N51"/>
  <c r="K51"/>
  <c r="R50"/>
  <c r="P50"/>
  <c r="O50"/>
  <c r="N50"/>
  <c r="K50"/>
  <c r="R49"/>
  <c r="P49"/>
  <c r="O49"/>
  <c r="N49"/>
  <c r="K49"/>
  <c r="R48"/>
  <c r="P48"/>
  <c r="O48"/>
  <c r="N48"/>
  <c r="K48"/>
  <c r="R47"/>
  <c r="P47"/>
  <c r="O47"/>
  <c r="N47"/>
  <c r="K47"/>
  <c r="R46"/>
  <c r="P46"/>
  <c r="O46"/>
  <c r="N46"/>
  <c r="K46"/>
  <c r="R45"/>
  <c r="P45"/>
  <c r="O45"/>
  <c r="N45"/>
  <c r="K45"/>
  <c r="R44"/>
  <c r="P44"/>
  <c r="O44"/>
  <c r="N44"/>
  <c r="K44"/>
  <c r="R43"/>
  <c r="P43"/>
  <c r="O43"/>
  <c r="N43"/>
  <c r="K43"/>
  <c r="R42"/>
  <c r="P42"/>
  <c r="O42"/>
  <c r="N42"/>
  <c r="K42"/>
  <c r="R41"/>
  <c r="P41"/>
  <c r="O41"/>
  <c r="N41"/>
  <c r="K41"/>
  <c r="R40"/>
  <c r="P40"/>
  <c r="O40"/>
  <c r="N40"/>
  <c r="K40"/>
  <c r="R39"/>
  <c r="P39"/>
  <c r="O39"/>
  <c r="N39"/>
  <c r="K39"/>
  <c r="R38"/>
  <c r="P38"/>
  <c r="O38"/>
  <c r="N38"/>
  <c r="K38"/>
  <c r="R37"/>
  <c r="P37"/>
  <c r="O37"/>
  <c r="N37"/>
  <c r="K37"/>
  <c r="R36"/>
  <c r="P36"/>
  <c r="O36"/>
  <c r="N36"/>
  <c r="K36"/>
  <c r="R35"/>
  <c r="P35"/>
  <c r="O35"/>
  <c r="N35"/>
  <c r="K35"/>
  <c r="R34"/>
  <c r="P34"/>
  <c r="O34"/>
  <c r="N34"/>
  <c r="K34"/>
  <c r="R33"/>
  <c r="P33"/>
  <c r="O33"/>
  <c r="N33"/>
  <c r="K33"/>
  <c r="Q32"/>
  <c r="R29"/>
  <c r="O29"/>
  <c r="P29" s="1"/>
  <c r="K29"/>
  <c r="N29" s="1"/>
  <c r="R28"/>
  <c r="O28"/>
  <c r="P28" s="1"/>
  <c r="K28"/>
  <c r="N28" s="1"/>
  <c r="R27"/>
  <c r="O27"/>
  <c r="P27" s="1"/>
  <c r="K27"/>
  <c r="N27" s="1"/>
  <c r="R26"/>
  <c r="O26"/>
  <c r="P26" s="1"/>
  <c r="K26"/>
  <c r="N26" s="1"/>
  <c r="R25"/>
  <c r="O25"/>
  <c r="P25" s="1"/>
  <c r="K25"/>
  <c r="N25" s="1"/>
  <c r="R24"/>
  <c r="O24"/>
  <c r="P24" s="1"/>
  <c r="K24"/>
  <c r="N24" s="1"/>
  <c r="R23"/>
  <c r="O23"/>
  <c r="P23" s="1"/>
  <c r="K23"/>
  <c r="N23" s="1"/>
  <c r="R22"/>
  <c r="O22"/>
  <c r="P22" s="1"/>
  <c r="K22"/>
  <c r="N22" s="1"/>
  <c r="R21"/>
  <c r="O21"/>
  <c r="P21" s="1"/>
  <c r="K21"/>
  <c r="N21" s="1"/>
  <c r="R20"/>
  <c r="O20"/>
  <c r="P20" s="1"/>
  <c r="K20"/>
  <c r="N20" s="1"/>
  <c r="R19"/>
  <c r="O19"/>
  <c r="P19" s="1"/>
  <c r="K19"/>
  <c r="N19" s="1"/>
  <c r="R18"/>
  <c r="O18"/>
  <c r="P18" s="1"/>
  <c r="K18"/>
  <c r="N18" s="1"/>
  <c r="R17"/>
  <c r="O17"/>
  <c r="P17" s="1"/>
  <c r="K17"/>
  <c r="N17" s="1"/>
  <c r="R16"/>
  <c r="O16"/>
  <c r="P16" s="1"/>
  <c r="K16"/>
  <c r="N16" s="1"/>
  <c r="R15"/>
  <c r="O15"/>
  <c r="P15" s="1"/>
  <c r="K15"/>
  <c r="N15" s="1"/>
  <c r="R14"/>
  <c r="O14"/>
  <c r="P14" s="1"/>
  <c r="K14"/>
  <c r="N14" s="1"/>
  <c r="R13"/>
  <c r="O13"/>
  <c r="P13" s="1"/>
  <c r="K13"/>
  <c r="N13" s="1"/>
  <c r="R12"/>
  <c r="O12"/>
  <c r="P12" s="1"/>
  <c r="K12"/>
  <c r="N12" s="1"/>
  <c r="R11"/>
  <c r="O11"/>
  <c r="P11" s="1"/>
  <c r="K11"/>
  <c r="N11" s="1"/>
  <c r="O10"/>
  <c r="P10" s="1"/>
  <c r="K10"/>
  <c r="N10" s="1"/>
  <c r="Q9"/>
  <c r="U7"/>
  <c r="K7"/>
  <c r="Y6"/>
  <c r="W6"/>
  <c r="U6"/>
  <c r="Z5"/>
  <c r="Z6" s="1"/>
  <c r="Y5"/>
  <c r="X5"/>
  <c r="X6" s="1"/>
  <c r="W5"/>
  <c r="V5"/>
  <c r="V6" s="1"/>
  <c r="U5"/>
  <c r="B4"/>
  <c r="AI3"/>
  <c r="AE2"/>
  <c r="AD2"/>
  <c r="AC2"/>
  <c r="R2"/>
  <c r="F2"/>
  <c r="AH2" s="1"/>
  <c r="AI2" s="1"/>
  <c r="Z1"/>
  <c r="Y1"/>
  <c r="X1"/>
  <c r="W1"/>
  <c r="V1"/>
  <c r="G9" i="9"/>
  <c r="A9"/>
  <c r="Z111" i="8"/>
  <c r="T111"/>
  <c r="C111"/>
  <c r="H111" s="1"/>
  <c r="B111"/>
  <c r="Z110"/>
  <c r="T110"/>
  <c r="H110"/>
  <c r="C110"/>
  <c r="B110"/>
  <c r="Z109"/>
  <c r="T109"/>
  <c r="C109"/>
  <c r="H109" s="1"/>
  <c r="B109"/>
  <c r="Z108"/>
  <c r="T108"/>
  <c r="H108"/>
  <c r="C108"/>
  <c r="B108"/>
  <c r="Z107"/>
  <c r="T107"/>
  <c r="H107"/>
  <c r="AL104"/>
  <c r="Z104"/>
  <c r="U104"/>
  <c r="T104"/>
  <c r="S104"/>
  <c r="C104"/>
  <c r="AL103"/>
  <c r="Z103"/>
  <c r="U103"/>
  <c r="T103"/>
  <c r="S103"/>
  <c r="C103"/>
  <c r="AL102"/>
  <c r="Z102"/>
  <c r="U102"/>
  <c r="T102"/>
  <c r="S102"/>
  <c r="C102"/>
  <c r="AL99"/>
  <c r="Z99"/>
  <c r="U99"/>
  <c r="T99"/>
  <c r="S99"/>
  <c r="C99"/>
  <c r="AL98"/>
  <c r="Z98"/>
  <c r="U98"/>
  <c r="T98"/>
  <c r="S98"/>
  <c r="C98"/>
  <c r="AL97"/>
  <c r="Z97"/>
  <c r="U97"/>
  <c r="T97"/>
  <c r="S97"/>
  <c r="C97"/>
  <c r="AL94"/>
  <c r="Z94"/>
  <c r="U94"/>
  <c r="T94"/>
  <c r="S94"/>
  <c r="C94"/>
  <c r="AL93"/>
  <c r="Z93"/>
  <c r="U93"/>
  <c r="T93"/>
  <c r="S93"/>
  <c r="C93"/>
  <c r="AL92"/>
  <c r="Z92"/>
  <c r="U92"/>
  <c r="T92"/>
  <c r="S92"/>
  <c r="C92"/>
  <c r="AL89"/>
  <c r="Z89"/>
  <c r="U89"/>
  <c r="T89"/>
  <c r="S89"/>
  <c r="C89"/>
  <c r="AL88"/>
  <c r="Z88"/>
  <c r="U88"/>
  <c r="T88"/>
  <c r="S88"/>
  <c r="C88"/>
  <c r="AL87"/>
  <c r="Z87"/>
  <c r="U87"/>
  <c r="T87"/>
  <c r="S87"/>
  <c r="C87"/>
  <c r="AL84"/>
  <c r="Z84"/>
  <c r="U84"/>
  <c r="T84"/>
  <c r="S84"/>
  <c r="C84"/>
  <c r="AL83"/>
  <c r="Z83"/>
  <c r="U83"/>
  <c r="T83"/>
  <c r="S83"/>
  <c r="C83"/>
  <c r="AL82"/>
  <c r="Z82"/>
  <c r="U82"/>
  <c r="T82"/>
  <c r="S82"/>
  <c r="C82"/>
  <c r="AL79"/>
  <c r="Z79"/>
  <c r="U79"/>
  <c r="T79"/>
  <c r="S79"/>
  <c r="C79"/>
  <c r="AL78"/>
  <c r="Z78"/>
  <c r="U78"/>
  <c r="T78"/>
  <c r="S78"/>
  <c r="C78"/>
  <c r="AL77"/>
  <c r="Z77"/>
  <c r="U77"/>
  <c r="T77"/>
  <c r="S77"/>
  <c r="C77"/>
  <c r="AL74"/>
  <c r="Z74"/>
  <c r="U74"/>
  <c r="T74"/>
  <c r="S74"/>
  <c r="C74"/>
  <c r="AL73"/>
  <c r="Z73"/>
  <c r="U73"/>
  <c r="T73"/>
  <c r="S73"/>
  <c r="C73"/>
  <c r="AL72"/>
  <c r="Z72"/>
  <c r="U72"/>
  <c r="T72"/>
  <c r="S72"/>
  <c r="C72"/>
  <c r="AL69"/>
  <c r="Z69"/>
  <c r="U69"/>
  <c r="T69"/>
  <c r="S69"/>
  <c r="C69"/>
  <c r="AL68"/>
  <c r="Z68"/>
  <c r="U68"/>
  <c r="T68"/>
  <c r="S68"/>
  <c r="C68"/>
  <c r="AL67"/>
  <c r="Z67"/>
  <c r="U67"/>
  <c r="T67"/>
  <c r="S67"/>
  <c r="C67"/>
  <c r="AL64"/>
  <c r="Z64"/>
  <c r="U64"/>
  <c r="T64"/>
  <c r="S64"/>
  <c r="C64"/>
  <c r="AL63"/>
  <c r="Z63"/>
  <c r="U63"/>
  <c r="T63"/>
  <c r="S63"/>
  <c r="C63"/>
  <c r="AL62"/>
  <c r="Z62"/>
  <c r="U62"/>
  <c r="T62"/>
  <c r="S62"/>
  <c r="C62"/>
  <c r="X59"/>
  <c r="P59" s="1"/>
  <c r="S59"/>
  <c r="F59"/>
  <c r="Y59" s="1"/>
  <c r="E59"/>
  <c r="X58"/>
  <c r="T58"/>
  <c r="P58"/>
  <c r="S58" s="1"/>
  <c r="F58"/>
  <c r="E58" s="1"/>
  <c r="D58"/>
  <c r="AL58" s="1"/>
  <c r="Z57"/>
  <c r="Y57"/>
  <c r="X57"/>
  <c r="P57" s="1"/>
  <c r="K57" s="1"/>
  <c r="S57"/>
  <c r="F57"/>
  <c r="T57" s="1"/>
  <c r="E57"/>
  <c r="D57"/>
  <c r="AL57" s="1"/>
  <c r="AL54"/>
  <c r="Z54"/>
  <c r="U54"/>
  <c r="T54"/>
  <c r="S54"/>
  <c r="C54"/>
  <c r="AL53"/>
  <c r="Z53"/>
  <c r="U53"/>
  <c r="T53"/>
  <c r="S53"/>
  <c r="C53"/>
  <c r="AL52"/>
  <c r="Z52"/>
  <c r="U52"/>
  <c r="T52"/>
  <c r="S52"/>
  <c r="C52"/>
  <c r="AL49"/>
  <c r="Z49"/>
  <c r="U49"/>
  <c r="T49"/>
  <c r="S49"/>
  <c r="C49"/>
  <c r="AL48"/>
  <c r="Z48"/>
  <c r="U48"/>
  <c r="T48"/>
  <c r="S48"/>
  <c r="C48"/>
  <c r="AL47"/>
  <c r="Z47"/>
  <c r="U47"/>
  <c r="T47"/>
  <c r="S47"/>
  <c r="C47"/>
  <c r="AL44"/>
  <c r="Z44"/>
  <c r="U44"/>
  <c r="T44"/>
  <c r="S44"/>
  <c r="C44"/>
  <c r="AL43"/>
  <c r="Z43"/>
  <c r="U43"/>
  <c r="T43"/>
  <c r="S43"/>
  <c r="C43"/>
  <c r="AL42"/>
  <c r="Z42"/>
  <c r="U42"/>
  <c r="T42"/>
  <c r="S42"/>
  <c r="C42"/>
  <c r="AL39"/>
  <c r="Z39"/>
  <c r="U39"/>
  <c r="T39"/>
  <c r="S39"/>
  <c r="C39"/>
  <c r="AL38"/>
  <c r="Z38"/>
  <c r="U38"/>
  <c r="T38"/>
  <c r="S38"/>
  <c r="C38"/>
  <c r="AL37"/>
  <c r="Z37"/>
  <c r="U37"/>
  <c r="T37"/>
  <c r="S37"/>
  <c r="C37"/>
  <c r="AL34"/>
  <c r="Z34"/>
  <c r="U34"/>
  <c r="T34"/>
  <c r="S34"/>
  <c r="C34"/>
  <c r="AL33"/>
  <c r="Z33"/>
  <c r="U33"/>
  <c r="T33"/>
  <c r="S33"/>
  <c r="C33"/>
  <c r="AL32"/>
  <c r="Z32"/>
  <c r="U32"/>
  <c r="T32"/>
  <c r="S32"/>
  <c r="C32"/>
  <c r="AL29"/>
  <c r="Z29"/>
  <c r="U29"/>
  <c r="T29"/>
  <c r="S29"/>
  <c r="C29"/>
  <c r="AL28"/>
  <c r="Z28"/>
  <c r="U28"/>
  <c r="T28"/>
  <c r="S28"/>
  <c r="C28"/>
  <c r="AL27"/>
  <c r="Z27"/>
  <c r="U27"/>
  <c r="T27"/>
  <c r="S27"/>
  <c r="C27"/>
  <c r="AL24"/>
  <c r="Z24"/>
  <c r="U24"/>
  <c r="T24"/>
  <c r="S24"/>
  <c r="C24"/>
  <c r="AL23"/>
  <c r="Z23"/>
  <c r="U23"/>
  <c r="T23"/>
  <c r="S23"/>
  <c r="C23"/>
  <c r="AL22"/>
  <c r="Z22"/>
  <c r="U22"/>
  <c r="T22"/>
  <c r="S22"/>
  <c r="C22"/>
  <c r="AL19"/>
  <c r="Z19"/>
  <c r="U19"/>
  <c r="T19"/>
  <c r="S19"/>
  <c r="C19"/>
  <c r="AL18"/>
  <c r="Z18"/>
  <c r="U18"/>
  <c r="T18"/>
  <c r="S18"/>
  <c r="C18"/>
  <c r="AL17"/>
  <c r="Z17"/>
  <c r="U17"/>
  <c r="T17"/>
  <c r="S17"/>
  <c r="C17"/>
  <c r="AL14"/>
  <c r="Z14"/>
  <c r="U14"/>
  <c r="T14"/>
  <c r="S14"/>
  <c r="C14"/>
  <c r="AL13"/>
  <c r="Z13"/>
  <c r="U13"/>
  <c r="T13"/>
  <c r="S13"/>
  <c r="C13"/>
  <c r="AL12"/>
  <c r="Z12"/>
  <c r="U12"/>
  <c r="T12"/>
  <c r="S12"/>
  <c r="C12"/>
  <c r="X9"/>
  <c r="P9" s="1"/>
  <c r="S9" s="1"/>
  <c r="F9"/>
  <c r="Y8"/>
  <c r="X8"/>
  <c r="P8"/>
  <c r="S8" s="1"/>
  <c r="F8"/>
  <c r="T8" s="1"/>
  <c r="Y7"/>
  <c r="X7"/>
  <c r="P7"/>
  <c r="S7" s="1"/>
  <c r="F7"/>
  <c r="T7" s="1"/>
  <c r="E7"/>
  <c r="D7"/>
  <c r="AL7" s="1"/>
  <c r="L4"/>
  <c r="G4"/>
  <c r="I98" s="1"/>
  <c r="Y114" i="7"/>
  <c r="Y113"/>
  <c r="Y112"/>
  <c r="Y111"/>
  <c r="Y110"/>
  <c r="Y109"/>
  <c r="Y94"/>
  <c r="T90"/>
  <c r="T89"/>
  <c r="T88"/>
  <c r="T87"/>
  <c r="T86"/>
  <c r="T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R84"/>
  <c r="Q84"/>
  <c r="P84"/>
  <c r="O84"/>
  <c r="N84"/>
  <c r="M84"/>
  <c r="L84"/>
  <c r="K84"/>
  <c r="J84"/>
  <c r="I84"/>
  <c r="H84"/>
  <c r="G84"/>
  <c r="F84"/>
  <c r="E84"/>
  <c r="D84"/>
  <c r="C84"/>
  <c r="B84"/>
  <c r="AK80"/>
  <c r="R80"/>
  <c r="U78"/>
  <c r="T78"/>
  <c r="U77"/>
  <c r="T77"/>
  <c r="U76"/>
  <c r="T76"/>
  <c r="U75"/>
  <c r="T75"/>
  <c r="U74"/>
  <c r="T74"/>
  <c r="U73"/>
  <c r="T73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AK60"/>
  <c r="AJ60"/>
  <c r="AI60"/>
  <c r="AH60"/>
  <c r="AG60"/>
  <c r="AF60"/>
  <c r="AE60"/>
  <c r="AD60"/>
  <c r="AC60"/>
  <c r="AB60"/>
  <c r="AA60"/>
  <c r="Z60"/>
  <c r="Y60"/>
  <c r="X60"/>
  <c r="W60"/>
  <c r="V60"/>
  <c r="U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Y57"/>
  <c r="Y56"/>
  <c r="Y93" s="1"/>
  <c r="AK55"/>
  <c r="AJ55"/>
  <c r="AI55"/>
  <c r="AH55"/>
  <c r="AG55"/>
  <c r="AF55"/>
  <c r="AE55"/>
  <c r="AD55"/>
  <c r="AC55"/>
  <c r="AB55"/>
  <c r="AA55"/>
  <c r="Z55"/>
  <c r="Y55"/>
  <c r="X55"/>
  <c r="W55"/>
  <c r="V55"/>
  <c r="U55"/>
  <c r="R55"/>
  <c r="Q55"/>
  <c r="P55"/>
  <c r="O55"/>
  <c r="N55"/>
  <c r="M55"/>
  <c r="L55"/>
  <c r="K55"/>
  <c r="J55"/>
  <c r="I55"/>
  <c r="H55"/>
  <c r="G55"/>
  <c r="F55"/>
  <c r="E55"/>
  <c r="D55"/>
  <c r="C55"/>
  <c r="B55"/>
  <c r="AK53"/>
  <c r="AJ53"/>
  <c r="AI53"/>
  <c r="AH53"/>
  <c r="AG53"/>
  <c r="AF53"/>
  <c r="AE53"/>
  <c r="AD53"/>
  <c r="AC53"/>
  <c r="AB53"/>
  <c r="AA53"/>
  <c r="Z53"/>
  <c r="Y53"/>
  <c r="X53"/>
  <c r="W53"/>
  <c r="V53"/>
  <c r="U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Y40"/>
  <c r="R40"/>
  <c r="Q40"/>
  <c r="P40"/>
  <c r="O40"/>
  <c r="N40"/>
  <c r="M40"/>
  <c r="L40"/>
  <c r="K40"/>
  <c r="J40"/>
  <c r="I40"/>
  <c r="H40"/>
  <c r="G40"/>
  <c r="F40"/>
  <c r="E40"/>
  <c r="D40"/>
  <c r="C40"/>
  <c r="B40"/>
  <c r="R42" s="1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C24"/>
  <c r="AB24"/>
  <c r="AA24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H20"/>
  <c r="AG20"/>
  <c r="AF20"/>
  <c r="AE20"/>
  <c r="AD20"/>
  <c r="AC20"/>
  <c r="AB20"/>
  <c r="AA20"/>
  <c r="Z20"/>
  <c r="Y20"/>
  <c r="X20"/>
  <c r="W20"/>
  <c r="V20"/>
  <c r="U20"/>
  <c r="AK19"/>
  <c r="AK40" s="1"/>
  <c r="AK6" s="1"/>
  <c r="AJ19"/>
  <c r="AJ40" s="1"/>
  <c r="AJ6" s="1"/>
  <c r="AI19"/>
  <c r="AI40" s="1"/>
  <c r="AI6" s="1"/>
  <c r="AH19"/>
  <c r="AH40" s="1"/>
  <c r="AH6" s="1"/>
  <c r="AG19"/>
  <c r="AG40" s="1"/>
  <c r="AG6" s="1"/>
  <c r="AF19"/>
  <c r="AF40" s="1"/>
  <c r="AF6" s="1"/>
  <c r="AE19"/>
  <c r="AE40" s="1"/>
  <c r="AE6" s="1"/>
  <c r="AD19"/>
  <c r="AD40" s="1"/>
  <c r="AD6" s="1"/>
  <c r="AC19"/>
  <c r="AC40" s="1"/>
  <c r="AC6" s="1"/>
  <c r="AB19"/>
  <c r="AB40" s="1"/>
  <c r="AB6" s="1"/>
  <c r="AA19"/>
  <c r="AA40" s="1"/>
  <c r="AA6" s="1"/>
  <c r="Z19"/>
  <c r="Z40" s="1"/>
  <c r="Z6" s="1"/>
  <c r="Y19"/>
  <c r="X19"/>
  <c r="X40" s="1"/>
  <c r="X6" s="1"/>
  <c r="W19"/>
  <c r="W40" s="1"/>
  <c r="W6" s="1"/>
  <c r="V19"/>
  <c r="V40" s="1"/>
  <c r="V6" s="1"/>
  <c r="U19"/>
  <c r="U40" s="1"/>
  <c r="AK18"/>
  <c r="AJ18"/>
  <c r="AI18"/>
  <c r="AH18"/>
  <c r="AG18"/>
  <c r="AF18"/>
  <c r="AE18"/>
  <c r="AD18"/>
  <c r="AC18"/>
  <c r="AB18"/>
  <c r="AA18"/>
  <c r="Z18"/>
  <c r="Y18"/>
  <c r="X18"/>
  <c r="W18"/>
  <c r="V18"/>
  <c r="U18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T82" s="1"/>
  <c r="A17"/>
  <c r="A82" s="1"/>
  <c r="Y13"/>
  <c r="Y12"/>
  <c r="Y11"/>
  <c r="Y8"/>
  <c r="Y6"/>
  <c r="R6"/>
  <c r="Q6"/>
  <c r="P6"/>
  <c r="O6"/>
  <c r="N6"/>
  <c r="M6"/>
  <c r="L6"/>
  <c r="K6"/>
  <c r="J6"/>
  <c r="I6"/>
  <c r="H6"/>
  <c r="G6"/>
  <c r="F6"/>
  <c r="E6"/>
  <c r="C7" s="1"/>
  <c r="D6"/>
  <c r="G7" s="1"/>
  <c r="C6"/>
  <c r="Q7" s="1"/>
  <c r="B6"/>
  <c r="P7" s="1"/>
  <c r="AK5"/>
  <c r="U5"/>
  <c r="V5" s="1"/>
  <c r="R5"/>
  <c r="C5"/>
  <c r="D5" s="1"/>
  <c r="B5"/>
  <c r="T1"/>
  <c r="U316" i="6"/>
  <c r="T316"/>
  <c r="R316"/>
  <c r="Q316"/>
  <c r="M316"/>
  <c r="U315"/>
  <c r="T315"/>
  <c r="Q315"/>
  <c r="R315" s="1"/>
  <c r="P315"/>
  <c r="M315"/>
  <c r="U314"/>
  <c r="T314"/>
  <c r="Q314"/>
  <c r="R314" s="1"/>
  <c r="P314"/>
  <c r="M314"/>
  <c r="U313"/>
  <c r="T313"/>
  <c r="Q313"/>
  <c r="R313" s="1"/>
  <c r="M313"/>
  <c r="U312"/>
  <c r="T312"/>
  <c r="R312"/>
  <c r="Q312"/>
  <c r="P312"/>
  <c r="M312"/>
  <c r="U311"/>
  <c r="Q311"/>
  <c r="R311" s="1"/>
  <c r="P311"/>
  <c r="M311"/>
  <c r="S310"/>
  <c r="T311" s="1"/>
  <c r="U307"/>
  <c r="T307"/>
  <c r="Q307"/>
  <c r="R307" s="1"/>
  <c r="P307"/>
  <c r="M307"/>
  <c r="U306"/>
  <c r="T306"/>
  <c r="Q306"/>
  <c r="R306" s="1"/>
  <c r="P306"/>
  <c r="M306"/>
  <c r="U305"/>
  <c r="T305"/>
  <c r="Q305"/>
  <c r="R305" s="1"/>
  <c r="M305"/>
  <c r="U304"/>
  <c r="T304"/>
  <c r="R304"/>
  <c r="Q304"/>
  <c r="M304"/>
  <c r="U303"/>
  <c r="T303"/>
  <c r="Q303"/>
  <c r="R303" s="1"/>
  <c r="P303"/>
  <c r="M303"/>
  <c r="U302"/>
  <c r="T302"/>
  <c r="Q302"/>
  <c r="R302" s="1"/>
  <c r="P302"/>
  <c r="M302"/>
  <c r="U301"/>
  <c r="T301"/>
  <c r="Q301"/>
  <c r="R301" s="1"/>
  <c r="M301"/>
  <c r="U300"/>
  <c r="T300"/>
  <c r="R300"/>
  <c r="Q300"/>
  <c r="M300"/>
  <c r="U299"/>
  <c r="Q299"/>
  <c r="R299" s="1"/>
  <c r="P299"/>
  <c r="M299"/>
  <c r="S298"/>
  <c r="T299" s="1"/>
  <c r="U295"/>
  <c r="T295"/>
  <c r="Q295"/>
  <c r="R295" s="1"/>
  <c r="P295"/>
  <c r="M295"/>
  <c r="U294"/>
  <c r="T294"/>
  <c r="Q294"/>
  <c r="R294" s="1"/>
  <c r="P294"/>
  <c r="M294"/>
  <c r="U293"/>
  <c r="T293"/>
  <c r="Q293"/>
  <c r="R293" s="1"/>
  <c r="M293"/>
  <c r="U292"/>
  <c r="T292"/>
  <c r="R292"/>
  <c r="Q292"/>
  <c r="M292"/>
  <c r="U291"/>
  <c r="T291"/>
  <c r="Q291"/>
  <c r="R291" s="1"/>
  <c r="P291"/>
  <c r="M291"/>
  <c r="U290"/>
  <c r="T290"/>
  <c r="Q290"/>
  <c r="R290" s="1"/>
  <c r="P290"/>
  <c r="M290"/>
  <c r="U289"/>
  <c r="T289"/>
  <c r="Q289"/>
  <c r="R289" s="1"/>
  <c r="M289"/>
  <c r="P289" s="1"/>
  <c r="U288"/>
  <c r="T288"/>
  <c r="R288"/>
  <c r="Q288"/>
  <c r="M288"/>
  <c r="U287"/>
  <c r="T287"/>
  <c r="Q287"/>
  <c r="R287" s="1"/>
  <c r="P287"/>
  <c r="M287"/>
  <c r="U286"/>
  <c r="T286"/>
  <c r="Q286"/>
  <c r="R286" s="1"/>
  <c r="P286"/>
  <c r="M286"/>
  <c r="U285"/>
  <c r="T285"/>
  <c r="R285"/>
  <c r="Q285"/>
  <c r="M285"/>
  <c r="P285" s="1"/>
  <c r="U284"/>
  <c r="T284"/>
  <c r="R284"/>
  <c r="Q284"/>
  <c r="P284"/>
  <c r="M284"/>
  <c r="U283"/>
  <c r="T283"/>
  <c r="Q283"/>
  <c r="R283" s="1"/>
  <c r="P283"/>
  <c r="M283"/>
  <c r="U282"/>
  <c r="T282"/>
  <c r="R282"/>
  <c r="Q282"/>
  <c r="P282"/>
  <c r="M282"/>
  <c r="U281"/>
  <c r="T281"/>
  <c r="R281"/>
  <c r="Q281"/>
  <c r="M281"/>
  <c r="P281" s="1"/>
  <c r="U280"/>
  <c r="T280"/>
  <c r="R280"/>
  <c r="Q280"/>
  <c r="P280"/>
  <c r="M280"/>
  <c r="U279"/>
  <c r="T279"/>
  <c r="Q279"/>
  <c r="R279" s="1"/>
  <c r="P279"/>
  <c r="M279"/>
  <c r="U278"/>
  <c r="T278"/>
  <c r="R278"/>
  <c r="Q278"/>
  <c r="P278"/>
  <c r="M278"/>
  <c r="U277"/>
  <c r="T277"/>
  <c r="R277"/>
  <c r="Q277"/>
  <c r="M277"/>
  <c r="P277" s="1"/>
  <c r="U276"/>
  <c r="T276"/>
  <c r="R276"/>
  <c r="Q276"/>
  <c r="P276"/>
  <c r="M276"/>
  <c r="U275"/>
  <c r="T275"/>
  <c r="Q275"/>
  <c r="R275" s="1"/>
  <c r="P275"/>
  <c r="M275"/>
  <c r="U274"/>
  <c r="T274"/>
  <c r="R274"/>
  <c r="Q274"/>
  <c r="P274"/>
  <c r="M274"/>
  <c r="U273"/>
  <c r="T273"/>
  <c r="R273"/>
  <c r="Q273"/>
  <c r="M273"/>
  <c r="P273" s="1"/>
  <c r="U272"/>
  <c r="T272"/>
  <c r="R272"/>
  <c r="Q272"/>
  <c r="P272"/>
  <c r="M272"/>
  <c r="U271"/>
  <c r="T271"/>
  <c r="Q271"/>
  <c r="R271" s="1"/>
  <c r="P271"/>
  <c r="M271"/>
  <c r="U270"/>
  <c r="T270"/>
  <c r="R270"/>
  <c r="Q270"/>
  <c r="P270"/>
  <c r="M270"/>
  <c r="U269"/>
  <c r="T269"/>
  <c r="R269"/>
  <c r="Q269"/>
  <c r="M269"/>
  <c r="P269" s="1"/>
  <c r="U268"/>
  <c r="T268"/>
  <c r="R268"/>
  <c r="Q268"/>
  <c r="P268"/>
  <c r="M268"/>
  <c r="U267"/>
  <c r="T267"/>
  <c r="Q267"/>
  <c r="R267" s="1"/>
  <c r="P267"/>
  <c r="M267"/>
  <c r="U266"/>
  <c r="T266"/>
  <c r="R266"/>
  <c r="Q266"/>
  <c r="P266"/>
  <c r="M266"/>
  <c r="U265"/>
  <c r="T265"/>
  <c r="R265"/>
  <c r="Q265"/>
  <c r="M265"/>
  <c r="P265" s="1"/>
  <c r="U264"/>
  <c r="T264"/>
  <c r="R264"/>
  <c r="Q264"/>
  <c r="P264"/>
  <c r="M264"/>
  <c r="U263"/>
  <c r="T263"/>
  <c r="Q263"/>
  <c r="R263" s="1"/>
  <c r="P263"/>
  <c r="M263"/>
  <c r="U262"/>
  <c r="R262"/>
  <c r="Q262"/>
  <c r="P262"/>
  <c r="M262"/>
  <c r="S261"/>
  <c r="T262" s="1"/>
  <c r="U258"/>
  <c r="T258"/>
  <c r="R258"/>
  <c r="Q258"/>
  <c r="P258"/>
  <c r="M258"/>
  <c r="U257"/>
  <c r="T257"/>
  <c r="R257"/>
  <c r="Q257"/>
  <c r="M257"/>
  <c r="P257" s="1"/>
  <c r="U256"/>
  <c r="T256"/>
  <c r="R256"/>
  <c r="Q256"/>
  <c r="P256"/>
  <c r="M256"/>
  <c r="U255"/>
  <c r="T255"/>
  <c r="Q255"/>
  <c r="R255" s="1"/>
  <c r="P255"/>
  <c r="M255"/>
  <c r="U254"/>
  <c r="T254"/>
  <c r="Q254"/>
  <c r="R254" s="1"/>
  <c r="P254"/>
  <c r="M254"/>
  <c r="U253"/>
  <c r="T253"/>
  <c r="R253"/>
  <c r="Q253"/>
  <c r="M253"/>
  <c r="P253" s="1"/>
  <c r="U252"/>
  <c r="T252"/>
  <c r="R252"/>
  <c r="Q252"/>
  <c r="M252"/>
  <c r="U251"/>
  <c r="T251"/>
  <c r="Q251"/>
  <c r="R251" s="1"/>
  <c r="P251"/>
  <c r="M251"/>
  <c r="U250"/>
  <c r="T250"/>
  <c r="Q250"/>
  <c r="R250" s="1"/>
  <c r="P250"/>
  <c r="M250"/>
  <c r="U249"/>
  <c r="T249"/>
  <c r="R249"/>
  <c r="Q249"/>
  <c r="M249"/>
  <c r="P249" s="1"/>
  <c r="U248"/>
  <c r="T248"/>
  <c r="R248"/>
  <c r="Q248"/>
  <c r="M248"/>
  <c r="U247"/>
  <c r="T247"/>
  <c r="Q247"/>
  <c r="R247" s="1"/>
  <c r="P247"/>
  <c r="M247"/>
  <c r="U246"/>
  <c r="T246"/>
  <c r="Q246"/>
  <c r="R246" s="1"/>
  <c r="P246"/>
  <c r="M246"/>
  <c r="U245"/>
  <c r="T245"/>
  <c r="R245"/>
  <c r="Q245"/>
  <c r="M245"/>
  <c r="P245" s="1"/>
  <c r="U244"/>
  <c r="T244"/>
  <c r="R244"/>
  <c r="Q244"/>
  <c r="M244"/>
  <c r="U243"/>
  <c r="T243"/>
  <c r="Q243"/>
  <c r="R243" s="1"/>
  <c r="P243"/>
  <c r="M243"/>
  <c r="U242"/>
  <c r="T242"/>
  <c r="Q242"/>
  <c r="R242" s="1"/>
  <c r="P242"/>
  <c r="M242"/>
  <c r="U241"/>
  <c r="T241"/>
  <c r="R241"/>
  <c r="Q241"/>
  <c r="M241"/>
  <c r="P241" s="1"/>
  <c r="U240"/>
  <c r="T240"/>
  <c r="R240"/>
  <c r="Q240"/>
  <c r="M240"/>
  <c r="U239"/>
  <c r="T239"/>
  <c r="Q239"/>
  <c r="R239" s="1"/>
  <c r="P239"/>
  <c r="M239"/>
  <c r="U238"/>
  <c r="T238"/>
  <c r="Q238"/>
  <c r="R238" s="1"/>
  <c r="P238"/>
  <c r="M238"/>
  <c r="U237"/>
  <c r="T237"/>
  <c r="R237"/>
  <c r="Q237"/>
  <c r="M237"/>
  <c r="P237" s="1"/>
  <c r="U236"/>
  <c r="T236"/>
  <c r="R236"/>
  <c r="Q236"/>
  <c r="M236"/>
  <c r="U235"/>
  <c r="T235"/>
  <c r="Q235"/>
  <c r="R235" s="1"/>
  <c r="P235"/>
  <c r="M235"/>
  <c r="U234"/>
  <c r="T234"/>
  <c r="Q234"/>
  <c r="R234" s="1"/>
  <c r="P234"/>
  <c r="M234"/>
  <c r="U233"/>
  <c r="T233"/>
  <c r="R233"/>
  <c r="Q233"/>
  <c r="M233"/>
  <c r="P233" s="1"/>
  <c r="U232"/>
  <c r="T232"/>
  <c r="R232"/>
  <c r="Q232"/>
  <c r="M232"/>
  <c r="U231"/>
  <c r="T231"/>
  <c r="Q231"/>
  <c r="R231" s="1"/>
  <c r="P231"/>
  <c r="M231"/>
  <c r="U230"/>
  <c r="T230"/>
  <c r="Q230"/>
  <c r="R230" s="1"/>
  <c r="P230"/>
  <c r="M230"/>
  <c r="U229"/>
  <c r="T229"/>
  <c r="R229"/>
  <c r="Q229"/>
  <c r="M229"/>
  <c r="P229" s="1"/>
  <c r="U228"/>
  <c r="T228"/>
  <c r="R228"/>
  <c r="Q228"/>
  <c r="M228"/>
  <c r="S227"/>
  <c r="U224"/>
  <c r="T224"/>
  <c r="R224"/>
  <c r="Q224"/>
  <c r="M224"/>
  <c r="U223"/>
  <c r="T223"/>
  <c r="Q223"/>
  <c r="R223" s="1"/>
  <c r="P223"/>
  <c r="M223"/>
  <c r="U222"/>
  <c r="T222"/>
  <c r="Q222"/>
  <c r="R222" s="1"/>
  <c r="P222"/>
  <c r="M222"/>
  <c r="U221"/>
  <c r="T221"/>
  <c r="R221"/>
  <c r="Q221"/>
  <c r="M221"/>
  <c r="P221" s="1"/>
  <c r="U220"/>
  <c r="T220"/>
  <c r="R220"/>
  <c r="Q220"/>
  <c r="M220"/>
  <c r="U219"/>
  <c r="T219"/>
  <c r="Q219"/>
  <c r="R219" s="1"/>
  <c r="P219"/>
  <c r="M219"/>
  <c r="U218"/>
  <c r="T218"/>
  <c r="Q218"/>
  <c r="R218" s="1"/>
  <c r="P218"/>
  <c r="M218"/>
  <c r="U217"/>
  <c r="T217"/>
  <c r="R217"/>
  <c r="Q217"/>
  <c r="M217"/>
  <c r="P217" s="1"/>
  <c r="U216"/>
  <c r="T216"/>
  <c r="R216"/>
  <c r="Q216"/>
  <c r="M216"/>
  <c r="U215"/>
  <c r="T215"/>
  <c r="Q215"/>
  <c r="R215" s="1"/>
  <c r="P215"/>
  <c r="M215"/>
  <c r="U214"/>
  <c r="T214"/>
  <c r="Q214"/>
  <c r="R214" s="1"/>
  <c r="P214"/>
  <c r="M214"/>
  <c r="U213"/>
  <c r="T213"/>
  <c r="R213"/>
  <c r="Q213"/>
  <c r="M213"/>
  <c r="P213" s="1"/>
  <c r="U212"/>
  <c r="T212"/>
  <c r="R212"/>
  <c r="Q212"/>
  <c r="M212"/>
  <c r="U211"/>
  <c r="T211"/>
  <c r="Q211"/>
  <c r="R211" s="1"/>
  <c r="P211"/>
  <c r="M211"/>
  <c r="U210"/>
  <c r="T210"/>
  <c r="Q210"/>
  <c r="R210" s="1"/>
  <c r="P210"/>
  <c r="M210"/>
  <c r="U209"/>
  <c r="T209"/>
  <c r="R209"/>
  <c r="Q209"/>
  <c r="M209"/>
  <c r="P209" s="1"/>
  <c r="U208"/>
  <c r="T208"/>
  <c r="R208"/>
  <c r="Q208"/>
  <c r="M208"/>
  <c r="U207"/>
  <c r="T207"/>
  <c r="Q207"/>
  <c r="R207" s="1"/>
  <c r="P207"/>
  <c r="M207"/>
  <c r="U206"/>
  <c r="T206"/>
  <c r="Q206"/>
  <c r="R206" s="1"/>
  <c r="P206"/>
  <c r="M206"/>
  <c r="U205"/>
  <c r="T205"/>
  <c r="R205"/>
  <c r="Q205"/>
  <c r="M205"/>
  <c r="P205" s="1"/>
  <c r="U204"/>
  <c r="T204"/>
  <c r="R204"/>
  <c r="Q204"/>
  <c r="M204"/>
  <c r="U203"/>
  <c r="T203"/>
  <c r="Q203"/>
  <c r="R203" s="1"/>
  <c r="P203"/>
  <c r="M203"/>
  <c r="U202"/>
  <c r="T202"/>
  <c r="Q202"/>
  <c r="R202" s="1"/>
  <c r="P202"/>
  <c r="M202"/>
  <c r="U201"/>
  <c r="T201"/>
  <c r="R201"/>
  <c r="Q201"/>
  <c r="M201"/>
  <c r="P201" s="1"/>
  <c r="U200"/>
  <c r="T200"/>
  <c r="R200"/>
  <c r="Q200"/>
  <c r="M200"/>
  <c r="U199"/>
  <c r="T199"/>
  <c r="Q199"/>
  <c r="R199" s="1"/>
  <c r="P199"/>
  <c r="M199"/>
  <c r="U198"/>
  <c r="T198"/>
  <c r="Q198"/>
  <c r="R198" s="1"/>
  <c r="P198"/>
  <c r="M198"/>
  <c r="U197"/>
  <c r="T197"/>
  <c r="R197"/>
  <c r="Q197"/>
  <c r="M197"/>
  <c r="P197" s="1"/>
  <c r="U196"/>
  <c r="T196"/>
  <c r="R196"/>
  <c r="Q196"/>
  <c r="M196"/>
  <c r="U195"/>
  <c r="T195"/>
  <c r="Q195"/>
  <c r="R195" s="1"/>
  <c r="P195"/>
  <c r="M195"/>
  <c r="U194"/>
  <c r="T194"/>
  <c r="Q194"/>
  <c r="R194" s="1"/>
  <c r="P194"/>
  <c r="M194"/>
  <c r="U193"/>
  <c r="T193"/>
  <c r="R193"/>
  <c r="Q193"/>
  <c r="M193"/>
  <c r="P193" s="1"/>
  <c r="U192"/>
  <c r="T192"/>
  <c r="R192"/>
  <c r="Q192"/>
  <c r="M192"/>
  <c r="U191"/>
  <c r="T191"/>
  <c r="Q191"/>
  <c r="R191" s="1"/>
  <c r="P191"/>
  <c r="M191"/>
  <c r="U190"/>
  <c r="T190"/>
  <c r="Q190"/>
  <c r="R190" s="1"/>
  <c r="P190"/>
  <c r="M190"/>
  <c r="U189"/>
  <c r="T189"/>
  <c r="R189"/>
  <c r="Q189"/>
  <c r="M189"/>
  <c r="P189" s="1"/>
  <c r="U188"/>
  <c r="T188"/>
  <c r="R188"/>
  <c r="Q188"/>
  <c r="M188"/>
  <c r="U187"/>
  <c r="T187"/>
  <c r="Q187"/>
  <c r="R187" s="1"/>
  <c r="P187"/>
  <c r="M187"/>
  <c r="U186"/>
  <c r="T186"/>
  <c r="Q186"/>
  <c r="R186" s="1"/>
  <c r="P186"/>
  <c r="M186"/>
  <c r="U185"/>
  <c r="T185"/>
  <c r="R185"/>
  <c r="Q185"/>
  <c r="M185"/>
  <c r="P185" s="1"/>
  <c r="U184"/>
  <c r="T184"/>
  <c r="R184"/>
  <c r="Q184"/>
  <c r="M184"/>
  <c r="U183"/>
  <c r="T183"/>
  <c r="Q183"/>
  <c r="R183" s="1"/>
  <c r="P183"/>
  <c r="M183"/>
  <c r="U182"/>
  <c r="T182"/>
  <c r="Q182"/>
  <c r="R182" s="1"/>
  <c r="P182"/>
  <c r="M182"/>
  <c r="U181"/>
  <c r="T181"/>
  <c r="R181"/>
  <c r="Q181"/>
  <c r="M181"/>
  <c r="P181" s="1"/>
  <c r="U180"/>
  <c r="T180"/>
  <c r="R180"/>
  <c r="Q180"/>
  <c r="M180"/>
  <c r="U179"/>
  <c r="T179"/>
  <c r="Q179"/>
  <c r="R179" s="1"/>
  <c r="P179"/>
  <c r="M179"/>
  <c r="U178"/>
  <c r="T178"/>
  <c r="Q178"/>
  <c r="R178" s="1"/>
  <c r="M178"/>
  <c r="U177"/>
  <c r="T177"/>
  <c r="R177"/>
  <c r="Q177"/>
  <c r="M177"/>
  <c r="P177" s="1"/>
  <c r="S176"/>
  <c r="U173"/>
  <c r="T173"/>
  <c r="R173"/>
  <c r="Q173"/>
  <c r="M173"/>
  <c r="P173" s="1"/>
  <c r="U172"/>
  <c r="T172"/>
  <c r="Q172"/>
  <c r="R172" s="1"/>
  <c r="M172"/>
  <c r="U171"/>
  <c r="T171"/>
  <c r="Q171"/>
  <c r="R171" s="1"/>
  <c r="P171"/>
  <c r="M171"/>
  <c r="U170"/>
  <c r="T170"/>
  <c r="Q170"/>
  <c r="R170" s="1"/>
  <c r="M170"/>
  <c r="U169"/>
  <c r="T169"/>
  <c r="R169"/>
  <c r="Q169"/>
  <c r="M169"/>
  <c r="P169" s="1"/>
  <c r="U168"/>
  <c r="T168"/>
  <c r="R168"/>
  <c r="Q168"/>
  <c r="M168"/>
  <c r="U167"/>
  <c r="T167"/>
  <c r="Q167"/>
  <c r="R167" s="1"/>
  <c r="P167"/>
  <c r="M167"/>
  <c r="U166"/>
  <c r="T166"/>
  <c r="Q166"/>
  <c r="R166" s="1"/>
  <c r="M166"/>
  <c r="U165"/>
  <c r="T165"/>
  <c r="R165"/>
  <c r="Q165"/>
  <c r="M165"/>
  <c r="P165" s="1"/>
  <c r="U164"/>
  <c r="T164"/>
  <c r="Q164"/>
  <c r="R164" s="1"/>
  <c r="M164"/>
  <c r="U163"/>
  <c r="T163"/>
  <c r="Q163"/>
  <c r="R163" s="1"/>
  <c r="P163"/>
  <c r="M163"/>
  <c r="U162"/>
  <c r="T162"/>
  <c r="Q162"/>
  <c r="R162" s="1"/>
  <c r="M162"/>
  <c r="U161"/>
  <c r="T161"/>
  <c r="R161"/>
  <c r="Q161"/>
  <c r="M161"/>
  <c r="P161" s="1"/>
  <c r="U160"/>
  <c r="T160"/>
  <c r="Q160"/>
  <c r="R160" s="1"/>
  <c r="M160"/>
  <c r="U159"/>
  <c r="T159"/>
  <c r="Q159"/>
  <c r="R159" s="1"/>
  <c r="P159"/>
  <c r="M159"/>
  <c r="U158"/>
  <c r="T158"/>
  <c r="Q158"/>
  <c r="R158" s="1"/>
  <c r="M158"/>
  <c r="U157"/>
  <c r="T157"/>
  <c r="R157"/>
  <c r="Q157"/>
  <c r="M157"/>
  <c r="P157" s="1"/>
  <c r="U156"/>
  <c r="T156"/>
  <c r="Q156"/>
  <c r="R156" s="1"/>
  <c r="M156"/>
  <c r="U155"/>
  <c r="T155"/>
  <c r="Q155"/>
  <c r="R155" s="1"/>
  <c r="P155"/>
  <c r="M155"/>
  <c r="U154"/>
  <c r="T154"/>
  <c r="Q154"/>
  <c r="R154" s="1"/>
  <c r="M154"/>
  <c r="U153"/>
  <c r="T153"/>
  <c r="R153"/>
  <c r="Q153"/>
  <c r="M153"/>
  <c r="P153" s="1"/>
  <c r="U152"/>
  <c r="T152"/>
  <c r="Q152"/>
  <c r="R152" s="1"/>
  <c r="M152"/>
  <c r="U151"/>
  <c r="T151"/>
  <c r="Q151"/>
  <c r="R151" s="1"/>
  <c r="P151"/>
  <c r="M151"/>
  <c r="U150"/>
  <c r="T150"/>
  <c r="Q150"/>
  <c r="R150" s="1"/>
  <c r="M150"/>
  <c r="U149"/>
  <c r="T149"/>
  <c r="R149"/>
  <c r="Q149"/>
  <c r="M149"/>
  <c r="P149" s="1"/>
  <c r="U148"/>
  <c r="T148"/>
  <c r="Q148"/>
  <c r="R148" s="1"/>
  <c r="M148"/>
  <c r="U147"/>
  <c r="T147"/>
  <c r="Q147"/>
  <c r="R147" s="1"/>
  <c r="P147"/>
  <c r="M147"/>
  <c r="U146"/>
  <c r="T146"/>
  <c r="Q146"/>
  <c r="R146" s="1"/>
  <c r="M146"/>
  <c r="U145"/>
  <c r="T145"/>
  <c r="R145"/>
  <c r="Q145"/>
  <c r="M145"/>
  <c r="P145" s="1"/>
  <c r="U144"/>
  <c r="T144"/>
  <c r="Q144"/>
  <c r="R144" s="1"/>
  <c r="M144"/>
  <c r="U143"/>
  <c r="T143"/>
  <c r="Q143"/>
  <c r="R143" s="1"/>
  <c r="P143"/>
  <c r="M143"/>
  <c r="U142"/>
  <c r="T142"/>
  <c r="Q142"/>
  <c r="R142" s="1"/>
  <c r="M142"/>
  <c r="U141"/>
  <c r="T141"/>
  <c r="R141"/>
  <c r="Q141"/>
  <c r="M141"/>
  <c r="P141" s="1"/>
  <c r="U140"/>
  <c r="T140"/>
  <c r="Q140"/>
  <c r="R140" s="1"/>
  <c r="M140"/>
  <c r="U139"/>
  <c r="T139"/>
  <c r="Q139"/>
  <c r="R139" s="1"/>
  <c r="P139"/>
  <c r="M139"/>
  <c r="U138"/>
  <c r="T138"/>
  <c r="Q138"/>
  <c r="R138" s="1"/>
  <c r="M138"/>
  <c r="U137"/>
  <c r="T137"/>
  <c r="R137"/>
  <c r="Q137"/>
  <c r="M137"/>
  <c r="P137" s="1"/>
  <c r="U136"/>
  <c r="T136"/>
  <c r="Q136"/>
  <c r="R136" s="1"/>
  <c r="M136"/>
  <c r="U135"/>
  <c r="T135"/>
  <c r="Q135"/>
  <c r="R135" s="1"/>
  <c r="P135"/>
  <c r="M135"/>
  <c r="U134"/>
  <c r="T134"/>
  <c r="Q134"/>
  <c r="R134" s="1"/>
  <c r="P134"/>
  <c r="M134"/>
  <c r="U133"/>
  <c r="T133"/>
  <c r="R133"/>
  <c r="Q133"/>
  <c r="M133"/>
  <c r="U132"/>
  <c r="T132"/>
  <c r="Q132"/>
  <c r="R132" s="1"/>
  <c r="M132"/>
  <c r="P132" s="1"/>
  <c r="U131"/>
  <c r="T131"/>
  <c r="R131"/>
  <c r="Q131"/>
  <c r="P131"/>
  <c r="M131"/>
  <c r="U130"/>
  <c r="T130"/>
  <c r="Q130"/>
  <c r="R130" s="1"/>
  <c r="M130"/>
  <c r="P130" s="1"/>
  <c r="U129"/>
  <c r="T129"/>
  <c r="R129"/>
  <c r="Q129"/>
  <c r="P129"/>
  <c r="M129"/>
  <c r="U128"/>
  <c r="T128"/>
  <c r="R128"/>
  <c r="Q128"/>
  <c r="M128"/>
  <c r="P128" s="1"/>
  <c r="U127"/>
  <c r="T127"/>
  <c r="Q127"/>
  <c r="R127" s="1"/>
  <c r="P127"/>
  <c r="M127"/>
  <c r="U126"/>
  <c r="T126"/>
  <c r="Q126"/>
  <c r="R126" s="1"/>
  <c r="P126"/>
  <c r="M126"/>
  <c r="U125"/>
  <c r="T125"/>
  <c r="R125"/>
  <c r="Q125"/>
  <c r="M125"/>
  <c r="P125" s="1"/>
  <c r="U124"/>
  <c r="T124"/>
  <c r="Q124"/>
  <c r="R124" s="1"/>
  <c r="M124"/>
  <c r="P124" s="1"/>
  <c r="U123"/>
  <c r="T123"/>
  <c r="R123"/>
  <c r="Q123"/>
  <c r="P123"/>
  <c r="M123"/>
  <c r="U122"/>
  <c r="T122"/>
  <c r="Q122"/>
  <c r="R122" s="1"/>
  <c r="M122"/>
  <c r="P122" s="1"/>
  <c r="U121"/>
  <c r="T121"/>
  <c r="R121"/>
  <c r="Q121"/>
  <c r="P121"/>
  <c r="M121"/>
  <c r="U120"/>
  <c r="T120"/>
  <c r="R120"/>
  <c r="Q120"/>
  <c r="M120"/>
  <c r="P120" s="1"/>
  <c r="S119"/>
  <c r="U116"/>
  <c r="T116"/>
  <c r="Q116"/>
  <c r="R116" s="1"/>
  <c r="M116"/>
  <c r="P116" s="1"/>
  <c r="U115"/>
  <c r="T115"/>
  <c r="R115"/>
  <c r="Q115"/>
  <c r="P115"/>
  <c r="M115"/>
  <c r="U114"/>
  <c r="T114"/>
  <c r="R114"/>
  <c r="Q114"/>
  <c r="P114"/>
  <c r="M114"/>
  <c r="U113"/>
  <c r="T113"/>
  <c r="Q113"/>
  <c r="R113" s="1"/>
  <c r="M113"/>
  <c r="P113" s="1"/>
  <c r="U112"/>
  <c r="T112"/>
  <c r="R112"/>
  <c r="Q112"/>
  <c r="P112"/>
  <c r="M112"/>
  <c r="U111"/>
  <c r="T111"/>
  <c r="Q111"/>
  <c r="R111" s="1"/>
  <c r="M111"/>
  <c r="U110"/>
  <c r="T110"/>
  <c r="R110"/>
  <c r="Q110"/>
  <c r="P110"/>
  <c r="M110"/>
  <c r="U109"/>
  <c r="T109"/>
  <c r="Q109"/>
  <c r="R109" s="1"/>
  <c r="M109"/>
  <c r="P109" s="1"/>
  <c r="U108"/>
  <c r="T108"/>
  <c r="R108"/>
  <c r="Q108"/>
  <c r="P108"/>
  <c r="M108"/>
  <c r="U107"/>
  <c r="T107"/>
  <c r="Q107"/>
  <c r="R107" s="1"/>
  <c r="M107"/>
  <c r="U106"/>
  <c r="T106"/>
  <c r="R106"/>
  <c r="Q106"/>
  <c r="P106"/>
  <c r="M106"/>
  <c r="U105"/>
  <c r="T105"/>
  <c r="Q105"/>
  <c r="R105" s="1"/>
  <c r="M105"/>
  <c r="P105" s="1"/>
  <c r="U104"/>
  <c r="T104"/>
  <c r="R104"/>
  <c r="Q104"/>
  <c r="P104"/>
  <c r="M104"/>
  <c r="U103"/>
  <c r="T103"/>
  <c r="Q103"/>
  <c r="R103" s="1"/>
  <c r="M103"/>
  <c r="U102"/>
  <c r="T102"/>
  <c r="R102"/>
  <c r="Q102"/>
  <c r="P102"/>
  <c r="M102"/>
  <c r="U101"/>
  <c r="T101"/>
  <c r="Q101"/>
  <c r="R101" s="1"/>
  <c r="M101"/>
  <c r="P101" s="1"/>
  <c r="U100"/>
  <c r="T100"/>
  <c r="R100"/>
  <c r="Q100"/>
  <c r="P100"/>
  <c r="M100"/>
  <c r="U99"/>
  <c r="T99"/>
  <c r="Q99"/>
  <c r="R99" s="1"/>
  <c r="M99"/>
  <c r="U98"/>
  <c r="T98"/>
  <c r="R98"/>
  <c r="Q98"/>
  <c r="P98"/>
  <c r="M98"/>
  <c r="U97"/>
  <c r="T97"/>
  <c r="Q97"/>
  <c r="R97" s="1"/>
  <c r="M97"/>
  <c r="P97" s="1"/>
  <c r="U96"/>
  <c r="T96"/>
  <c r="R96"/>
  <c r="Q96"/>
  <c r="P96"/>
  <c r="M96"/>
  <c r="U95"/>
  <c r="T95"/>
  <c r="Q95"/>
  <c r="R95" s="1"/>
  <c r="M95"/>
  <c r="U94"/>
  <c r="T94"/>
  <c r="R94"/>
  <c r="Q94"/>
  <c r="P94"/>
  <c r="M94"/>
  <c r="U93"/>
  <c r="T93"/>
  <c r="Q93"/>
  <c r="R93" s="1"/>
  <c r="M93"/>
  <c r="P93" s="1"/>
  <c r="U92"/>
  <c r="T92"/>
  <c r="R92"/>
  <c r="Q92"/>
  <c r="P92"/>
  <c r="M92"/>
  <c r="U91"/>
  <c r="T91"/>
  <c r="Q91"/>
  <c r="R91" s="1"/>
  <c r="M91"/>
  <c r="U90"/>
  <c r="T90"/>
  <c r="R90"/>
  <c r="Q90"/>
  <c r="P90"/>
  <c r="M90"/>
  <c r="U89"/>
  <c r="T89"/>
  <c r="Q89"/>
  <c r="R89" s="1"/>
  <c r="M89"/>
  <c r="P89" s="1"/>
  <c r="U88"/>
  <c r="T88"/>
  <c r="R88"/>
  <c r="Q88"/>
  <c r="P88"/>
  <c r="M88"/>
  <c r="U87"/>
  <c r="T87"/>
  <c r="Q87"/>
  <c r="R87" s="1"/>
  <c r="M87"/>
  <c r="U86"/>
  <c r="T86"/>
  <c r="R86"/>
  <c r="Q86"/>
  <c r="P86"/>
  <c r="M86"/>
  <c r="U85"/>
  <c r="T85"/>
  <c r="Q85"/>
  <c r="R85" s="1"/>
  <c r="M85"/>
  <c r="P85" s="1"/>
  <c r="U84"/>
  <c r="T84"/>
  <c r="R84"/>
  <c r="Q84"/>
  <c r="P84"/>
  <c r="M84"/>
  <c r="U83"/>
  <c r="T83"/>
  <c r="Q83"/>
  <c r="R83" s="1"/>
  <c r="M83"/>
  <c r="S82"/>
  <c r="U79"/>
  <c r="T79"/>
  <c r="Q79"/>
  <c r="R79" s="1"/>
  <c r="M79"/>
  <c r="U78"/>
  <c r="T78"/>
  <c r="R78"/>
  <c r="Q78"/>
  <c r="P78"/>
  <c r="M78"/>
  <c r="U77"/>
  <c r="T77"/>
  <c r="Q77"/>
  <c r="R77" s="1"/>
  <c r="M77"/>
  <c r="P77" s="1"/>
  <c r="U76"/>
  <c r="T76"/>
  <c r="R76"/>
  <c r="Q76"/>
  <c r="P76"/>
  <c r="M76"/>
  <c r="U75"/>
  <c r="T75"/>
  <c r="Q75"/>
  <c r="R75" s="1"/>
  <c r="M75"/>
  <c r="U74"/>
  <c r="T74"/>
  <c r="R74"/>
  <c r="Q74"/>
  <c r="P74"/>
  <c r="M74"/>
  <c r="U73"/>
  <c r="T73"/>
  <c r="Q73"/>
  <c r="R73" s="1"/>
  <c r="M73"/>
  <c r="P73" s="1"/>
  <c r="U72"/>
  <c r="T72"/>
  <c r="R72"/>
  <c r="Q72"/>
  <c r="P72"/>
  <c r="M72"/>
  <c r="U71"/>
  <c r="T71"/>
  <c r="Q71"/>
  <c r="R71" s="1"/>
  <c r="M71"/>
  <c r="U70"/>
  <c r="T70"/>
  <c r="R70"/>
  <c r="Q70"/>
  <c r="P70"/>
  <c r="M70"/>
  <c r="U69"/>
  <c r="T69"/>
  <c r="Q69"/>
  <c r="R69" s="1"/>
  <c r="M69"/>
  <c r="P69" s="1"/>
  <c r="U68"/>
  <c r="T68"/>
  <c r="R68"/>
  <c r="Q68"/>
  <c r="P68"/>
  <c r="M68"/>
  <c r="U67"/>
  <c r="T67"/>
  <c r="Q67"/>
  <c r="R67" s="1"/>
  <c r="M67"/>
  <c r="U66"/>
  <c r="T66"/>
  <c r="R66"/>
  <c r="Q66"/>
  <c r="P66"/>
  <c r="M66"/>
  <c r="U65"/>
  <c r="T65"/>
  <c r="Q65"/>
  <c r="R65" s="1"/>
  <c r="M65"/>
  <c r="P65" s="1"/>
  <c r="U64"/>
  <c r="T64"/>
  <c r="R64"/>
  <c r="Q64"/>
  <c r="P64"/>
  <c r="M64"/>
  <c r="U63"/>
  <c r="T63"/>
  <c r="Q63"/>
  <c r="R63" s="1"/>
  <c r="M63"/>
  <c r="U62"/>
  <c r="T62"/>
  <c r="R62"/>
  <c r="Q62"/>
  <c r="P62"/>
  <c r="M62"/>
  <c r="U61"/>
  <c r="T61"/>
  <c r="Q61"/>
  <c r="R61" s="1"/>
  <c r="M61"/>
  <c r="P61" s="1"/>
  <c r="U60"/>
  <c r="T60"/>
  <c r="R60"/>
  <c r="Q60"/>
  <c r="P60"/>
  <c r="M60"/>
  <c r="U59"/>
  <c r="T59"/>
  <c r="Q59"/>
  <c r="R59" s="1"/>
  <c r="M59"/>
  <c r="U58"/>
  <c r="T58"/>
  <c r="R58"/>
  <c r="Q58"/>
  <c r="P58"/>
  <c r="M58"/>
  <c r="U57"/>
  <c r="T57"/>
  <c r="Q57"/>
  <c r="R57" s="1"/>
  <c r="M57"/>
  <c r="P57" s="1"/>
  <c r="U56"/>
  <c r="T56"/>
  <c r="R56"/>
  <c r="Q56"/>
  <c r="P56"/>
  <c r="M56"/>
  <c r="U55"/>
  <c r="T55"/>
  <c r="Q55"/>
  <c r="R55" s="1"/>
  <c r="M55"/>
  <c r="U54"/>
  <c r="T54"/>
  <c r="R54"/>
  <c r="Q54"/>
  <c r="P54"/>
  <c r="M54"/>
  <c r="U53"/>
  <c r="T53"/>
  <c r="Q53"/>
  <c r="R53" s="1"/>
  <c r="M53"/>
  <c r="P53" s="1"/>
  <c r="U52"/>
  <c r="T52"/>
  <c r="R52"/>
  <c r="Q52"/>
  <c r="P52"/>
  <c r="M52"/>
  <c r="U51"/>
  <c r="T51"/>
  <c r="Q51"/>
  <c r="R51" s="1"/>
  <c r="M51"/>
  <c r="P51" s="1"/>
  <c r="U50"/>
  <c r="R50"/>
  <c r="Q50"/>
  <c r="P50"/>
  <c r="M50"/>
  <c r="S49"/>
  <c r="T50" s="1"/>
  <c r="U47"/>
  <c r="U46"/>
  <c r="T46"/>
  <c r="Q46"/>
  <c r="R46" s="1"/>
  <c r="M46"/>
  <c r="P46" s="1"/>
  <c r="U45"/>
  <c r="T45"/>
  <c r="R45"/>
  <c r="Q45"/>
  <c r="P45"/>
  <c r="M45"/>
  <c r="U44"/>
  <c r="T44"/>
  <c r="Q44"/>
  <c r="R44" s="1"/>
  <c r="M44"/>
  <c r="P44" s="1"/>
  <c r="U43"/>
  <c r="T43"/>
  <c r="R43"/>
  <c r="Q43"/>
  <c r="P43"/>
  <c r="M43"/>
  <c r="U42"/>
  <c r="T42"/>
  <c r="Q42"/>
  <c r="R42" s="1"/>
  <c r="M42"/>
  <c r="P42" s="1"/>
  <c r="U41"/>
  <c r="T41"/>
  <c r="R41"/>
  <c r="Q41"/>
  <c r="P41"/>
  <c r="M41"/>
  <c r="U40"/>
  <c r="T40"/>
  <c r="Q40"/>
  <c r="R40" s="1"/>
  <c r="M40"/>
  <c r="P40" s="1"/>
  <c r="U39"/>
  <c r="T39"/>
  <c r="R39"/>
  <c r="Q39"/>
  <c r="P39"/>
  <c r="M39"/>
  <c r="U38"/>
  <c r="T38"/>
  <c r="Q38"/>
  <c r="R38" s="1"/>
  <c r="M38"/>
  <c r="P38" s="1"/>
  <c r="U37"/>
  <c r="T37"/>
  <c r="R37"/>
  <c r="Q37"/>
  <c r="P37"/>
  <c r="M37"/>
  <c r="U36"/>
  <c r="T36"/>
  <c r="Q36"/>
  <c r="R36" s="1"/>
  <c r="M36"/>
  <c r="P36" s="1"/>
  <c r="U35"/>
  <c r="T35"/>
  <c r="R35"/>
  <c r="Q35"/>
  <c r="P35"/>
  <c r="M35"/>
  <c r="U34"/>
  <c r="T34"/>
  <c r="Q34"/>
  <c r="R34" s="1"/>
  <c r="M34"/>
  <c r="P34" s="1"/>
  <c r="U33"/>
  <c r="T33"/>
  <c r="R33"/>
  <c r="Q33"/>
  <c r="P33"/>
  <c r="M33"/>
  <c r="U32"/>
  <c r="T32"/>
  <c r="Q32"/>
  <c r="R32" s="1"/>
  <c r="M32"/>
  <c r="P32" s="1"/>
  <c r="U31"/>
  <c r="T31"/>
  <c r="R31"/>
  <c r="Q31"/>
  <c r="P31"/>
  <c r="M31"/>
  <c r="U30"/>
  <c r="T30"/>
  <c r="Q30"/>
  <c r="R30" s="1"/>
  <c r="M30"/>
  <c r="P30" s="1"/>
  <c r="U29"/>
  <c r="T29"/>
  <c r="R29"/>
  <c r="Q29"/>
  <c r="P29"/>
  <c r="M29"/>
  <c r="U28"/>
  <c r="T28"/>
  <c r="Q28"/>
  <c r="R28" s="1"/>
  <c r="M28"/>
  <c r="P28" s="1"/>
  <c r="U27"/>
  <c r="T27"/>
  <c r="R27"/>
  <c r="Q27"/>
  <c r="P27"/>
  <c r="M27"/>
  <c r="U26"/>
  <c r="T26"/>
  <c r="Q26"/>
  <c r="R26" s="1"/>
  <c r="M26"/>
  <c r="P26" s="1"/>
  <c r="U25"/>
  <c r="T25"/>
  <c r="R25"/>
  <c r="Q25"/>
  <c r="P25"/>
  <c r="M25"/>
  <c r="U24"/>
  <c r="T24"/>
  <c r="Q24"/>
  <c r="R24" s="1"/>
  <c r="M24"/>
  <c r="P24" s="1"/>
  <c r="U23"/>
  <c r="T23"/>
  <c r="R23"/>
  <c r="Q23"/>
  <c r="P23"/>
  <c r="M23"/>
  <c r="U22"/>
  <c r="T22"/>
  <c r="Q22"/>
  <c r="R22" s="1"/>
  <c r="M22"/>
  <c r="P22" s="1"/>
  <c r="U21"/>
  <c r="T21"/>
  <c r="R21"/>
  <c r="Q21"/>
  <c r="P21"/>
  <c r="M21"/>
  <c r="U20"/>
  <c r="T20"/>
  <c r="Q20"/>
  <c r="R20" s="1"/>
  <c r="M20"/>
  <c r="P20" s="1"/>
  <c r="U19"/>
  <c r="T19"/>
  <c r="R19"/>
  <c r="Q19"/>
  <c r="P19"/>
  <c r="M19"/>
  <c r="U18"/>
  <c r="T18"/>
  <c r="Q18"/>
  <c r="R18" s="1"/>
  <c r="M18"/>
  <c r="P18" s="1"/>
  <c r="U17"/>
  <c r="T17"/>
  <c r="R17"/>
  <c r="Q17"/>
  <c r="P17"/>
  <c r="M17"/>
  <c r="U16"/>
  <c r="T16"/>
  <c r="R16"/>
  <c r="Q16"/>
  <c r="M16"/>
  <c r="P16" s="1"/>
  <c r="U15"/>
  <c r="T15"/>
  <c r="Q15"/>
  <c r="R15" s="1"/>
  <c r="P15"/>
  <c r="M15"/>
  <c r="U14"/>
  <c r="T14"/>
  <c r="Q14"/>
  <c r="R14" s="1"/>
  <c r="P14"/>
  <c r="M14"/>
  <c r="U13"/>
  <c r="T13"/>
  <c r="R13"/>
  <c r="Q13"/>
  <c r="M13"/>
  <c r="P13" s="1"/>
  <c r="U12"/>
  <c r="T12"/>
  <c r="Q12"/>
  <c r="R12" s="1"/>
  <c r="M12"/>
  <c r="P12" s="1"/>
  <c r="U11"/>
  <c r="T11"/>
  <c r="Q11"/>
  <c r="R11" s="1"/>
  <c r="P11"/>
  <c r="M11"/>
  <c r="U10"/>
  <c r="T10"/>
  <c r="Q10"/>
  <c r="R10" s="1"/>
  <c r="M10"/>
  <c r="P10" s="1"/>
  <c r="U9"/>
  <c r="T9"/>
  <c r="T4" s="1"/>
  <c r="R9"/>
  <c r="Q9"/>
  <c r="M9"/>
  <c r="U8"/>
  <c r="T8"/>
  <c r="Q8"/>
  <c r="R8" s="1"/>
  <c r="M8"/>
  <c r="P8" s="1"/>
  <c r="M5"/>
  <c r="AB4"/>
  <c r="AM3"/>
  <c r="AD3"/>
  <c r="AD4" s="1"/>
  <c r="AC3"/>
  <c r="AC4" s="1"/>
  <c r="AB3"/>
  <c r="AA3"/>
  <c r="AA4" s="1"/>
  <c r="Z3"/>
  <c r="Z4" s="1"/>
  <c r="Y3"/>
  <c r="Y4" s="1"/>
  <c r="D3"/>
  <c r="C3"/>
  <c r="AM2"/>
  <c r="AL2"/>
  <c r="AI2"/>
  <c r="AH2"/>
  <c r="AG2"/>
  <c r="U2"/>
  <c r="T2"/>
  <c r="Q2"/>
  <c r="R2" s="1"/>
  <c r="P2"/>
  <c r="M2"/>
  <c r="X2" s="1"/>
  <c r="AD1"/>
  <c r="AC1"/>
  <c r="AB1"/>
  <c r="AA1"/>
  <c r="Z1"/>
  <c r="Y1"/>
  <c r="U457" i="5"/>
  <c r="T457"/>
  <c r="R457"/>
  <c r="Q457"/>
  <c r="M457"/>
  <c r="U456"/>
  <c r="T456"/>
  <c r="R456"/>
  <c r="Q456"/>
  <c r="M456"/>
  <c r="U455"/>
  <c r="T455"/>
  <c r="Q455"/>
  <c r="R455" s="1"/>
  <c r="P455"/>
  <c r="M455"/>
  <c r="U454"/>
  <c r="T454"/>
  <c r="Q454"/>
  <c r="R454" s="1"/>
  <c r="P454"/>
  <c r="M454"/>
  <c r="U453"/>
  <c r="T453"/>
  <c r="R453"/>
  <c r="Q453"/>
  <c r="M453"/>
  <c r="U452"/>
  <c r="T452"/>
  <c r="R452"/>
  <c r="Q452"/>
  <c r="M452"/>
  <c r="U451"/>
  <c r="T451"/>
  <c r="Q451"/>
  <c r="R451" s="1"/>
  <c r="P451"/>
  <c r="M451"/>
  <c r="U450"/>
  <c r="T450"/>
  <c r="Q450"/>
  <c r="R450" s="1"/>
  <c r="P450"/>
  <c r="M450"/>
  <c r="U449"/>
  <c r="T449"/>
  <c r="R449"/>
  <c r="Q449"/>
  <c r="M449"/>
  <c r="U448"/>
  <c r="T448"/>
  <c r="R448"/>
  <c r="Q448"/>
  <c r="M448"/>
  <c r="U447"/>
  <c r="T447"/>
  <c r="Q447"/>
  <c r="R447" s="1"/>
  <c r="P447"/>
  <c r="M447"/>
  <c r="U446"/>
  <c r="Q446"/>
  <c r="R446" s="1"/>
  <c r="P446"/>
  <c r="M446"/>
  <c r="S445"/>
  <c r="T446" s="1"/>
  <c r="U442"/>
  <c r="T442"/>
  <c r="R442"/>
  <c r="Q442"/>
  <c r="M442"/>
  <c r="U441"/>
  <c r="T441"/>
  <c r="Q441"/>
  <c r="R441" s="1"/>
  <c r="P441"/>
  <c r="M441"/>
  <c r="U440"/>
  <c r="T440"/>
  <c r="R440"/>
  <c r="Q440"/>
  <c r="M440"/>
  <c r="P440" s="1"/>
  <c r="U439"/>
  <c r="T439"/>
  <c r="R439"/>
  <c r="Q439"/>
  <c r="M439"/>
  <c r="U438"/>
  <c r="T438"/>
  <c r="R438"/>
  <c r="Q438"/>
  <c r="M438"/>
  <c r="U437"/>
  <c r="T437"/>
  <c r="Q437"/>
  <c r="R437" s="1"/>
  <c r="P437"/>
  <c r="M437"/>
  <c r="U436"/>
  <c r="T436"/>
  <c r="R436"/>
  <c r="Q436"/>
  <c r="M436"/>
  <c r="P436" s="1"/>
  <c r="U435"/>
  <c r="T435"/>
  <c r="R435"/>
  <c r="Q435"/>
  <c r="M435"/>
  <c r="U434"/>
  <c r="T434"/>
  <c r="R434"/>
  <c r="Q434"/>
  <c r="M434"/>
  <c r="U433"/>
  <c r="T433"/>
  <c r="Q433"/>
  <c r="R433" s="1"/>
  <c r="P433"/>
  <c r="M433"/>
  <c r="U432"/>
  <c r="T432"/>
  <c r="R432"/>
  <c r="Q432"/>
  <c r="M432"/>
  <c r="P432" s="1"/>
  <c r="U431"/>
  <c r="T431"/>
  <c r="R431"/>
  <c r="Q431"/>
  <c r="M431"/>
  <c r="U430"/>
  <c r="T430"/>
  <c r="R430"/>
  <c r="Q430"/>
  <c r="M430"/>
  <c r="U429"/>
  <c r="T429"/>
  <c r="Q429"/>
  <c r="R429" s="1"/>
  <c r="P429"/>
  <c r="M429"/>
  <c r="U428"/>
  <c r="T428"/>
  <c r="R428"/>
  <c r="Q428"/>
  <c r="M428"/>
  <c r="P428" s="1"/>
  <c r="U427"/>
  <c r="T427"/>
  <c r="R427"/>
  <c r="Q427"/>
  <c r="M427"/>
  <c r="U426"/>
  <c r="T426"/>
  <c r="R426"/>
  <c r="Q426"/>
  <c r="M426"/>
  <c r="U425"/>
  <c r="T425"/>
  <c r="Q425"/>
  <c r="R425" s="1"/>
  <c r="P425"/>
  <c r="M425"/>
  <c r="U424"/>
  <c r="T424"/>
  <c r="R424"/>
  <c r="Q424"/>
  <c r="M424"/>
  <c r="P424" s="1"/>
  <c r="U423"/>
  <c r="T423"/>
  <c r="R423"/>
  <c r="Q423"/>
  <c r="M423"/>
  <c r="U422"/>
  <c r="T422"/>
  <c r="R422"/>
  <c r="Q422"/>
  <c r="M422"/>
  <c r="U421"/>
  <c r="T421"/>
  <c r="Q421"/>
  <c r="R421" s="1"/>
  <c r="P421"/>
  <c r="M421"/>
  <c r="U420"/>
  <c r="T420"/>
  <c r="R420"/>
  <c r="Q420"/>
  <c r="M420"/>
  <c r="P420" s="1"/>
  <c r="U419"/>
  <c r="T419"/>
  <c r="R419"/>
  <c r="Q419"/>
  <c r="M419"/>
  <c r="U418"/>
  <c r="T418"/>
  <c r="R418"/>
  <c r="Q418"/>
  <c r="M418"/>
  <c r="U417"/>
  <c r="T417"/>
  <c r="Q417"/>
  <c r="R417" s="1"/>
  <c r="P417"/>
  <c r="M417"/>
  <c r="U416"/>
  <c r="T416"/>
  <c r="R416"/>
  <c r="Q416"/>
  <c r="M416"/>
  <c r="P416" s="1"/>
  <c r="U415"/>
  <c r="T415"/>
  <c r="R415"/>
  <c r="Q415"/>
  <c r="M415"/>
  <c r="U414"/>
  <c r="T414"/>
  <c r="R414"/>
  <c r="Q414"/>
  <c r="M414"/>
  <c r="U413"/>
  <c r="T413"/>
  <c r="Q413"/>
  <c r="R413" s="1"/>
  <c r="P413"/>
  <c r="M413"/>
  <c r="U412"/>
  <c r="R412"/>
  <c r="Q412"/>
  <c r="M412"/>
  <c r="P412" s="1"/>
  <c r="S411"/>
  <c r="T412" s="1"/>
  <c r="U408"/>
  <c r="T408"/>
  <c r="Q408"/>
  <c r="R408" s="1"/>
  <c r="P408"/>
  <c r="M408"/>
  <c r="U407"/>
  <c r="T407"/>
  <c r="Q407"/>
  <c r="R407" s="1"/>
  <c r="P407"/>
  <c r="M407"/>
  <c r="U406"/>
  <c r="T406"/>
  <c r="R406"/>
  <c r="Q406"/>
  <c r="M406"/>
  <c r="P406" s="1"/>
  <c r="U405"/>
  <c r="T405"/>
  <c r="R405"/>
  <c r="Q405"/>
  <c r="M405"/>
  <c r="U404"/>
  <c r="T404"/>
  <c r="Q404"/>
  <c r="R404" s="1"/>
  <c r="P404"/>
  <c r="M404"/>
  <c r="U403"/>
  <c r="T403"/>
  <c r="Q403"/>
  <c r="R403" s="1"/>
  <c r="P403"/>
  <c r="M403"/>
  <c r="U402"/>
  <c r="T402"/>
  <c r="R402"/>
  <c r="Q402"/>
  <c r="M402"/>
  <c r="P402" s="1"/>
  <c r="U401"/>
  <c r="T401"/>
  <c r="R401"/>
  <c r="Q401"/>
  <c r="M401"/>
  <c r="U400"/>
  <c r="T400"/>
  <c r="Q400"/>
  <c r="R400" s="1"/>
  <c r="P400"/>
  <c r="M400"/>
  <c r="U399"/>
  <c r="T399"/>
  <c r="Q399"/>
  <c r="R399" s="1"/>
  <c r="P399"/>
  <c r="M399"/>
  <c r="U398"/>
  <c r="T398"/>
  <c r="R398"/>
  <c r="Q398"/>
  <c r="M398"/>
  <c r="P398" s="1"/>
  <c r="U397"/>
  <c r="T397"/>
  <c r="R397"/>
  <c r="Q397"/>
  <c r="M397"/>
  <c r="U396"/>
  <c r="T396"/>
  <c r="Q396"/>
  <c r="R396" s="1"/>
  <c r="P396"/>
  <c r="M396"/>
  <c r="U395"/>
  <c r="T395"/>
  <c r="Q395"/>
  <c r="R395" s="1"/>
  <c r="P395"/>
  <c r="M395"/>
  <c r="U394"/>
  <c r="T394"/>
  <c r="R394"/>
  <c r="Q394"/>
  <c r="M394"/>
  <c r="P394" s="1"/>
  <c r="U393"/>
  <c r="T393"/>
  <c r="R393"/>
  <c r="Q393"/>
  <c r="M393"/>
  <c r="U392"/>
  <c r="T392"/>
  <c r="Q392"/>
  <c r="R392" s="1"/>
  <c r="P392"/>
  <c r="M392"/>
  <c r="U391"/>
  <c r="T391"/>
  <c r="Q391"/>
  <c r="R391" s="1"/>
  <c r="P391"/>
  <c r="M391"/>
  <c r="U390"/>
  <c r="T390"/>
  <c r="R390"/>
  <c r="Q390"/>
  <c r="M390"/>
  <c r="P390" s="1"/>
  <c r="U389"/>
  <c r="T389"/>
  <c r="R389"/>
  <c r="Q389"/>
  <c r="M389"/>
  <c r="U388"/>
  <c r="T388"/>
  <c r="Q388"/>
  <c r="R388" s="1"/>
  <c r="P388"/>
  <c r="M388"/>
  <c r="U387"/>
  <c r="T387"/>
  <c r="Q387"/>
  <c r="R387" s="1"/>
  <c r="P387"/>
  <c r="M387"/>
  <c r="U386"/>
  <c r="T386"/>
  <c r="R386"/>
  <c r="Q386"/>
  <c r="M386"/>
  <c r="P386" s="1"/>
  <c r="U385"/>
  <c r="T385"/>
  <c r="R385"/>
  <c r="Q385"/>
  <c r="M385"/>
  <c r="U384"/>
  <c r="T384"/>
  <c r="Q384"/>
  <c r="R384" s="1"/>
  <c r="P384"/>
  <c r="M384"/>
  <c r="U383"/>
  <c r="T383"/>
  <c r="Q383"/>
  <c r="R383" s="1"/>
  <c r="P383"/>
  <c r="M383"/>
  <c r="U382"/>
  <c r="T382"/>
  <c r="R382"/>
  <c r="Q382"/>
  <c r="M382"/>
  <c r="P382" s="1"/>
  <c r="U381"/>
  <c r="T381"/>
  <c r="R381"/>
  <c r="Q381"/>
  <c r="M381"/>
  <c r="U380"/>
  <c r="T380"/>
  <c r="Q380"/>
  <c r="R380" s="1"/>
  <c r="P380"/>
  <c r="M380"/>
  <c r="U379"/>
  <c r="T379"/>
  <c r="Q379"/>
  <c r="R379" s="1"/>
  <c r="P379"/>
  <c r="M379"/>
  <c r="U378"/>
  <c r="T378"/>
  <c r="R378"/>
  <c r="Q378"/>
  <c r="M378"/>
  <c r="P378" s="1"/>
  <c r="U377"/>
  <c r="T377"/>
  <c r="R377"/>
  <c r="Q377"/>
  <c r="M377"/>
  <c r="U376"/>
  <c r="T376"/>
  <c r="Q376"/>
  <c r="R376" s="1"/>
  <c r="P376"/>
  <c r="M376"/>
  <c r="U375"/>
  <c r="T375"/>
  <c r="Q375"/>
  <c r="R375" s="1"/>
  <c r="P375"/>
  <c r="M375"/>
  <c r="U374"/>
  <c r="T374"/>
  <c r="R374"/>
  <c r="Q374"/>
  <c r="M374"/>
  <c r="P374" s="1"/>
  <c r="U373"/>
  <c r="T373"/>
  <c r="R373"/>
  <c r="Q373"/>
  <c r="M373"/>
  <c r="U372"/>
  <c r="T372"/>
  <c r="Q372"/>
  <c r="R372" s="1"/>
  <c r="P372"/>
  <c r="M372"/>
  <c r="U371"/>
  <c r="T371"/>
  <c r="Q371"/>
  <c r="R371" s="1"/>
  <c r="P371"/>
  <c r="M371"/>
  <c r="U370"/>
  <c r="T370"/>
  <c r="R370"/>
  <c r="Q370"/>
  <c r="M370"/>
  <c r="P370" s="1"/>
  <c r="U369"/>
  <c r="T369"/>
  <c r="R369"/>
  <c r="Q369"/>
  <c r="M369"/>
  <c r="U368"/>
  <c r="T368"/>
  <c r="Q368"/>
  <c r="R368" s="1"/>
  <c r="P368"/>
  <c r="M368"/>
  <c r="U367"/>
  <c r="T367"/>
  <c r="Q367"/>
  <c r="R367" s="1"/>
  <c r="P367"/>
  <c r="M367"/>
  <c r="U366"/>
  <c r="T366"/>
  <c r="R366"/>
  <c r="Q366"/>
  <c r="M366"/>
  <c r="P366" s="1"/>
  <c r="U365"/>
  <c r="T365"/>
  <c r="R365"/>
  <c r="Q365"/>
  <c r="M365"/>
  <c r="U364"/>
  <c r="T364"/>
  <c r="Q364"/>
  <c r="R364" s="1"/>
  <c r="P364"/>
  <c r="M364"/>
  <c r="S363"/>
  <c r="U360"/>
  <c r="T360"/>
  <c r="R360"/>
  <c r="Q360"/>
  <c r="M360"/>
  <c r="P360" s="1"/>
  <c r="U359"/>
  <c r="T359"/>
  <c r="R359"/>
  <c r="Q359"/>
  <c r="M359"/>
  <c r="U358"/>
  <c r="T358"/>
  <c r="R358"/>
  <c r="Q358"/>
  <c r="M358"/>
  <c r="U357"/>
  <c r="T357"/>
  <c r="Q357"/>
  <c r="R357" s="1"/>
  <c r="P357"/>
  <c r="M357"/>
  <c r="U356"/>
  <c r="T356"/>
  <c r="R356"/>
  <c r="Q356"/>
  <c r="M356"/>
  <c r="P356" s="1"/>
  <c r="U355"/>
  <c r="T355"/>
  <c r="R355"/>
  <c r="Q355"/>
  <c r="M355"/>
  <c r="U354"/>
  <c r="T354"/>
  <c r="R354"/>
  <c r="Q354"/>
  <c r="M354"/>
  <c r="U353"/>
  <c r="T353"/>
  <c r="Q353"/>
  <c r="R353" s="1"/>
  <c r="P353"/>
  <c r="M353"/>
  <c r="U352"/>
  <c r="T352"/>
  <c r="R352"/>
  <c r="Q352"/>
  <c r="M352"/>
  <c r="P352" s="1"/>
  <c r="U351"/>
  <c r="T351"/>
  <c r="R351"/>
  <c r="Q351"/>
  <c r="M351"/>
  <c r="U350"/>
  <c r="T350"/>
  <c r="R350"/>
  <c r="Q350"/>
  <c r="M350"/>
  <c r="U349"/>
  <c r="T349"/>
  <c r="Q349"/>
  <c r="R349" s="1"/>
  <c r="P349"/>
  <c r="M349"/>
  <c r="U348"/>
  <c r="T348"/>
  <c r="R348"/>
  <c r="Q348"/>
  <c r="M348"/>
  <c r="P348" s="1"/>
  <c r="U347"/>
  <c r="T347"/>
  <c r="R347"/>
  <c r="Q347"/>
  <c r="M347"/>
  <c r="U346"/>
  <c r="T346"/>
  <c r="R346"/>
  <c r="Q346"/>
  <c r="M346"/>
  <c r="U345"/>
  <c r="T345"/>
  <c r="Q345"/>
  <c r="R345" s="1"/>
  <c r="P345"/>
  <c r="M345"/>
  <c r="U344"/>
  <c r="T344"/>
  <c r="R344"/>
  <c r="Q344"/>
  <c r="M344"/>
  <c r="P344" s="1"/>
  <c r="U343"/>
  <c r="T343"/>
  <c r="R343"/>
  <c r="Q343"/>
  <c r="M343"/>
  <c r="U342"/>
  <c r="T342"/>
  <c r="R342"/>
  <c r="Q342"/>
  <c r="M342"/>
  <c r="U341"/>
  <c r="T341"/>
  <c r="Q341"/>
  <c r="R341" s="1"/>
  <c r="P341"/>
  <c r="M341"/>
  <c r="U340"/>
  <c r="T340"/>
  <c r="R340"/>
  <c r="Q340"/>
  <c r="M340"/>
  <c r="P340" s="1"/>
  <c r="U339"/>
  <c r="T339"/>
  <c r="R339"/>
  <c r="Q339"/>
  <c r="M339"/>
  <c r="U338"/>
  <c r="T338"/>
  <c r="R338"/>
  <c r="Q338"/>
  <c r="M338"/>
  <c r="U337"/>
  <c r="T337"/>
  <c r="Q337"/>
  <c r="R337" s="1"/>
  <c r="P337"/>
  <c r="M337"/>
  <c r="U336"/>
  <c r="T336"/>
  <c r="R336"/>
  <c r="Q336"/>
  <c r="M336"/>
  <c r="P336" s="1"/>
  <c r="U335"/>
  <c r="T335"/>
  <c r="R335"/>
  <c r="Q335"/>
  <c r="M335"/>
  <c r="U334"/>
  <c r="T334"/>
  <c r="R334"/>
  <c r="Q334"/>
  <c r="M334"/>
  <c r="U333"/>
  <c r="T333"/>
  <c r="Q333"/>
  <c r="R333" s="1"/>
  <c r="P333"/>
  <c r="M333"/>
  <c r="U332"/>
  <c r="T332"/>
  <c r="R332"/>
  <c r="Q332"/>
  <c r="M332"/>
  <c r="P332" s="1"/>
  <c r="U331"/>
  <c r="T331"/>
  <c r="R331"/>
  <c r="Q331"/>
  <c r="M331"/>
  <c r="U330"/>
  <c r="T330"/>
  <c r="R330"/>
  <c r="Q330"/>
  <c r="M330"/>
  <c r="U329"/>
  <c r="T329"/>
  <c r="Q329"/>
  <c r="R329" s="1"/>
  <c r="P329"/>
  <c r="M329"/>
  <c r="U328"/>
  <c r="T328"/>
  <c r="R328"/>
  <c r="Q328"/>
  <c r="M328"/>
  <c r="P328" s="1"/>
  <c r="U327"/>
  <c r="T327"/>
  <c r="R327"/>
  <c r="Q327"/>
  <c r="M327"/>
  <c r="U326"/>
  <c r="T326"/>
  <c r="R326"/>
  <c r="Q326"/>
  <c r="M326"/>
  <c r="U325"/>
  <c r="T325"/>
  <c r="Q325"/>
  <c r="R325" s="1"/>
  <c r="P325"/>
  <c r="M325"/>
  <c r="U324"/>
  <c r="T324"/>
  <c r="R324"/>
  <c r="Q324"/>
  <c r="M324"/>
  <c r="P324" s="1"/>
  <c r="U323"/>
  <c r="T323"/>
  <c r="R323"/>
  <c r="Q323"/>
  <c r="M323"/>
  <c r="U322"/>
  <c r="T322"/>
  <c r="R322"/>
  <c r="Q322"/>
  <c r="M322"/>
  <c r="U321"/>
  <c r="T321"/>
  <c r="Q321"/>
  <c r="R321" s="1"/>
  <c r="P321"/>
  <c r="M321"/>
  <c r="U320"/>
  <c r="T320"/>
  <c r="R320"/>
  <c r="Q320"/>
  <c r="M320"/>
  <c r="P320" s="1"/>
  <c r="U319"/>
  <c r="T319"/>
  <c r="R319"/>
  <c r="Q319"/>
  <c r="M319"/>
  <c r="U318"/>
  <c r="T318"/>
  <c r="R318"/>
  <c r="Q318"/>
  <c r="M318"/>
  <c r="U317"/>
  <c r="T317"/>
  <c r="Q317"/>
  <c r="R317" s="1"/>
  <c r="P317"/>
  <c r="M317"/>
  <c r="U316"/>
  <c r="T316"/>
  <c r="R316"/>
  <c r="Q316"/>
  <c r="M316"/>
  <c r="P316" s="1"/>
  <c r="U315"/>
  <c r="T315"/>
  <c r="R315"/>
  <c r="Q315"/>
  <c r="M315"/>
  <c r="U314"/>
  <c r="T314"/>
  <c r="R314"/>
  <c r="Q314"/>
  <c r="M314"/>
  <c r="U313"/>
  <c r="T313"/>
  <c r="Q313"/>
  <c r="R313" s="1"/>
  <c r="P313"/>
  <c r="M313"/>
  <c r="U312"/>
  <c r="T312"/>
  <c r="R312"/>
  <c r="Q312"/>
  <c r="M312"/>
  <c r="P312" s="1"/>
  <c r="U311"/>
  <c r="T311"/>
  <c r="R311"/>
  <c r="Q311"/>
  <c r="M311"/>
  <c r="U310"/>
  <c r="T310"/>
  <c r="R310"/>
  <c r="Q310"/>
  <c r="M310"/>
  <c r="U309"/>
  <c r="T309"/>
  <c r="Q309"/>
  <c r="R309" s="1"/>
  <c r="P309"/>
  <c r="M309"/>
  <c r="U308"/>
  <c r="T308"/>
  <c r="R308"/>
  <c r="Q308"/>
  <c r="M308"/>
  <c r="P308" s="1"/>
  <c r="U307"/>
  <c r="T307"/>
  <c r="R307"/>
  <c r="Q307"/>
  <c r="M307"/>
  <c r="U306"/>
  <c r="T306"/>
  <c r="R306"/>
  <c r="Q306"/>
  <c r="M306"/>
  <c r="U305"/>
  <c r="T305"/>
  <c r="Q305"/>
  <c r="R305" s="1"/>
  <c r="P305"/>
  <c r="M305"/>
  <c r="U304"/>
  <c r="T304"/>
  <c r="R304"/>
  <c r="Q304"/>
  <c r="M304"/>
  <c r="P304" s="1"/>
  <c r="U303"/>
  <c r="T303"/>
  <c r="R303"/>
  <c r="Q303"/>
  <c r="M303"/>
  <c r="U302"/>
  <c r="T302"/>
  <c r="R302"/>
  <c r="Q302"/>
  <c r="M302"/>
  <c r="U301"/>
  <c r="T301"/>
  <c r="Q301"/>
  <c r="R301" s="1"/>
  <c r="P301"/>
  <c r="M301"/>
  <c r="U300"/>
  <c r="T300"/>
  <c r="R300"/>
  <c r="Q300"/>
  <c r="M300"/>
  <c r="P300" s="1"/>
  <c r="U299"/>
  <c r="T299"/>
  <c r="R299"/>
  <c r="Q299"/>
  <c r="M299"/>
  <c r="U298"/>
  <c r="T298"/>
  <c r="R298"/>
  <c r="Q298"/>
  <c r="M298"/>
  <c r="U297"/>
  <c r="Q297"/>
  <c r="R297" s="1"/>
  <c r="P297"/>
  <c r="M297"/>
  <c r="S296"/>
  <c r="T297" s="1"/>
  <c r="U293"/>
  <c r="T293"/>
  <c r="R293"/>
  <c r="Q293"/>
  <c r="M293"/>
  <c r="U292"/>
  <c r="T292"/>
  <c r="R292"/>
  <c r="Q292"/>
  <c r="M292"/>
  <c r="U291"/>
  <c r="T291"/>
  <c r="Q291"/>
  <c r="R291" s="1"/>
  <c r="P291"/>
  <c r="M291"/>
  <c r="U290"/>
  <c r="T290"/>
  <c r="R290"/>
  <c r="Q290"/>
  <c r="M290"/>
  <c r="P290" s="1"/>
  <c r="U289"/>
  <c r="T289"/>
  <c r="R289"/>
  <c r="Q289"/>
  <c r="M289"/>
  <c r="U288"/>
  <c r="T288"/>
  <c r="R288"/>
  <c r="Q288"/>
  <c r="M288"/>
  <c r="U287"/>
  <c r="T287"/>
  <c r="Q287"/>
  <c r="R287" s="1"/>
  <c r="P287"/>
  <c r="M287"/>
  <c r="U286"/>
  <c r="T286"/>
  <c r="R286"/>
  <c r="Q286"/>
  <c r="M286"/>
  <c r="P286" s="1"/>
  <c r="U285"/>
  <c r="T285"/>
  <c r="R285"/>
  <c r="Q285"/>
  <c r="M285"/>
  <c r="U284"/>
  <c r="T284"/>
  <c r="R284"/>
  <c r="Q284"/>
  <c r="M284"/>
  <c r="U283"/>
  <c r="T283"/>
  <c r="Q283"/>
  <c r="R283" s="1"/>
  <c r="P283"/>
  <c r="M283"/>
  <c r="U282"/>
  <c r="T282"/>
  <c r="R282"/>
  <c r="Q282"/>
  <c r="M282"/>
  <c r="P282" s="1"/>
  <c r="U281"/>
  <c r="T281"/>
  <c r="R281"/>
  <c r="Q281"/>
  <c r="M281"/>
  <c r="U280"/>
  <c r="T280"/>
  <c r="R280"/>
  <c r="Q280"/>
  <c r="M280"/>
  <c r="U279"/>
  <c r="T279"/>
  <c r="Q279"/>
  <c r="R279" s="1"/>
  <c r="P279"/>
  <c r="M279"/>
  <c r="U278"/>
  <c r="T278"/>
  <c r="R278"/>
  <c r="Q278"/>
  <c r="M278"/>
  <c r="P278" s="1"/>
  <c r="U277"/>
  <c r="T277"/>
  <c r="R277"/>
  <c r="Q277"/>
  <c r="M277"/>
  <c r="U276"/>
  <c r="T276"/>
  <c r="R276"/>
  <c r="Q276"/>
  <c r="M276"/>
  <c r="U275"/>
  <c r="T275"/>
  <c r="Q275"/>
  <c r="R275" s="1"/>
  <c r="P275"/>
  <c r="M275"/>
  <c r="U274"/>
  <c r="T274"/>
  <c r="R274"/>
  <c r="Q274"/>
  <c r="M274"/>
  <c r="P274" s="1"/>
  <c r="U273"/>
  <c r="T273"/>
  <c r="R273"/>
  <c r="Q273"/>
  <c r="M273"/>
  <c r="U272"/>
  <c r="T272"/>
  <c r="R272"/>
  <c r="Q272"/>
  <c r="M272"/>
  <c r="U271"/>
  <c r="T271"/>
  <c r="Q271"/>
  <c r="R271" s="1"/>
  <c r="P271"/>
  <c r="M271"/>
  <c r="U270"/>
  <c r="T270"/>
  <c r="R270"/>
  <c r="Q270"/>
  <c r="M270"/>
  <c r="P270" s="1"/>
  <c r="U269"/>
  <c r="T269"/>
  <c r="R269"/>
  <c r="Q269"/>
  <c r="M269"/>
  <c r="U268"/>
  <c r="T268"/>
  <c r="R268"/>
  <c r="Q268"/>
  <c r="M268"/>
  <c r="U267"/>
  <c r="T267"/>
  <c r="Q267"/>
  <c r="R267" s="1"/>
  <c r="P267"/>
  <c r="M267"/>
  <c r="U266"/>
  <c r="T266"/>
  <c r="R266"/>
  <c r="Q266"/>
  <c r="M266"/>
  <c r="P266" s="1"/>
  <c r="U265"/>
  <c r="T265"/>
  <c r="R265"/>
  <c r="Q265"/>
  <c r="M265"/>
  <c r="U264"/>
  <c r="T264"/>
  <c r="R264"/>
  <c r="Q264"/>
  <c r="M264"/>
  <c r="U263"/>
  <c r="T263"/>
  <c r="Q263"/>
  <c r="R263" s="1"/>
  <c r="P263"/>
  <c r="M263"/>
  <c r="U262"/>
  <c r="T262"/>
  <c r="R262"/>
  <c r="Q262"/>
  <c r="M262"/>
  <c r="P262" s="1"/>
  <c r="U261"/>
  <c r="T261"/>
  <c r="R261"/>
  <c r="Q261"/>
  <c r="M261"/>
  <c r="U260"/>
  <c r="T260"/>
  <c r="R260"/>
  <c r="Q260"/>
  <c r="M260"/>
  <c r="U259"/>
  <c r="T259"/>
  <c r="Q259"/>
  <c r="R259" s="1"/>
  <c r="P259"/>
  <c r="M259"/>
  <c r="U258"/>
  <c r="T258"/>
  <c r="R258"/>
  <c r="Q258"/>
  <c r="M258"/>
  <c r="P258" s="1"/>
  <c r="U257"/>
  <c r="T257"/>
  <c r="R257"/>
  <c r="Q257"/>
  <c r="M257"/>
  <c r="U256"/>
  <c r="T256"/>
  <c r="R256"/>
  <c r="Q256"/>
  <c r="M256"/>
  <c r="U255"/>
  <c r="T255"/>
  <c r="Q255"/>
  <c r="R255" s="1"/>
  <c r="P255"/>
  <c r="M255"/>
  <c r="U254"/>
  <c r="T254"/>
  <c r="R254"/>
  <c r="Q254"/>
  <c r="M254"/>
  <c r="P254" s="1"/>
  <c r="U253"/>
  <c r="T253"/>
  <c r="Q253"/>
  <c r="R253" s="1"/>
  <c r="M253"/>
  <c r="U252"/>
  <c r="T252"/>
  <c r="R252"/>
  <c r="Q252"/>
  <c r="M252"/>
  <c r="U251"/>
  <c r="T251"/>
  <c r="Q251"/>
  <c r="R251" s="1"/>
  <c r="M251"/>
  <c r="U250"/>
  <c r="T250"/>
  <c r="R250"/>
  <c r="Q250"/>
  <c r="P250"/>
  <c r="M250"/>
  <c r="U249"/>
  <c r="T249"/>
  <c r="Q249"/>
  <c r="R249" s="1"/>
  <c r="M249"/>
  <c r="U248"/>
  <c r="T248"/>
  <c r="R248"/>
  <c r="Q248"/>
  <c r="M248"/>
  <c r="U247"/>
  <c r="T247"/>
  <c r="Q247"/>
  <c r="R247" s="1"/>
  <c r="M247"/>
  <c r="U246"/>
  <c r="T246"/>
  <c r="R246"/>
  <c r="Q246"/>
  <c r="P246"/>
  <c r="M246"/>
  <c r="U245"/>
  <c r="T245"/>
  <c r="Q245"/>
  <c r="R245" s="1"/>
  <c r="M245"/>
  <c r="U244"/>
  <c r="T244"/>
  <c r="R244"/>
  <c r="Q244"/>
  <c r="M244"/>
  <c r="U243"/>
  <c r="T243"/>
  <c r="Q243"/>
  <c r="R243" s="1"/>
  <c r="M243"/>
  <c r="U242"/>
  <c r="T242"/>
  <c r="R242"/>
  <c r="Q242"/>
  <c r="P242"/>
  <c r="M242"/>
  <c r="U241"/>
  <c r="T241"/>
  <c r="Q241"/>
  <c r="R241" s="1"/>
  <c r="M241"/>
  <c r="U240"/>
  <c r="T240"/>
  <c r="R240"/>
  <c r="Q240"/>
  <c r="M240"/>
  <c r="U239"/>
  <c r="T239"/>
  <c r="Q239"/>
  <c r="R239" s="1"/>
  <c r="M239"/>
  <c r="U238"/>
  <c r="T238"/>
  <c r="R238"/>
  <c r="Q238"/>
  <c r="P238"/>
  <c r="M238"/>
  <c r="U237"/>
  <c r="T237"/>
  <c r="Q237"/>
  <c r="R237" s="1"/>
  <c r="M237"/>
  <c r="U236"/>
  <c r="T236"/>
  <c r="R236"/>
  <c r="Q236"/>
  <c r="M236"/>
  <c r="U235"/>
  <c r="T235"/>
  <c r="Q235"/>
  <c r="R235" s="1"/>
  <c r="M235"/>
  <c r="U234"/>
  <c r="T234"/>
  <c r="R234"/>
  <c r="Q234"/>
  <c r="P234"/>
  <c r="M234"/>
  <c r="U233"/>
  <c r="T233"/>
  <c r="Q233"/>
  <c r="R233" s="1"/>
  <c r="M233"/>
  <c r="U232"/>
  <c r="T232"/>
  <c r="R232"/>
  <c r="Q232"/>
  <c r="M232"/>
  <c r="U231"/>
  <c r="T231"/>
  <c r="Q231"/>
  <c r="R231" s="1"/>
  <c r="M231"/>
  <c r="U230"/>
  <c r="T230"/>
  <c r="R230"/>
  <c r="Q230"/>
  <c r="P230"/>
  <c r="M230"/>
  <c r="U229"/>
  <c r="T229"/>
  <c r="Q229"/>
  <c r="R229" s="1"/>
  <c r="M229"/>
  <c r="U228"/>
  <c r="T228"/>
  <c r="R228"/>
  <c r="Q228"/>
  <c r="M228"/>
  <c r="U227"/>
  <c r="T227"/>
  <c r="Q227"/>
  <c r="R227" s="1"/>
  <c r="M227"/>
  <c r="U226"/>
  <c r="T226"/>
  <c r="R226"/>
  <c r="Q226"/>
  <c r="P226"/>
  <c r="M226"/>
  <c r="U225"/>
  <c r="T225"/>
  <c r="Q225"/>
  <c r="R225" s="1"/>
  <c r="M225"/>
  <c r="U224"/>
  <c r="T224"/>
  <c r="R224"/>
  <c r="Q224"/>
  <c r="M224"/>
  <c r="U223"/>
  <c r="T223"/>
  <c r="Q223"/>
  <c r="R223" s="1"/>
  <c r="M223"/>
  <c r="U222"/>
  <c r="T222"/>
  <c r="R222"/>
  <c r="Q222"/>
  <c r="P222"/>
  <c r="M222"/>
  <c r="U221"/>
  <c r="T221"/>
  <c r="Q221"/>
  <c r="R221" s="1"/>
  <c r="M221"/>
  <c r="U220"/>
  <c r="T220"/>
  <c r="R220"/>
  <c r="Q220"/>
  <c r="M220"/>
  <c r="U219"/>
  <c r="T219"/>
  <c r="Q219"/>
  <c r="R219" s="1"/>
  <c r="M219"/>
  <c r="U218"/>
  <c r="R218"/>
  <c r="Q218"/>
  <c r="P218"/>
  <c r="M218"/>
  <c r="S217"/>
  <c r="T218" s="1"/>
  <c r="U214"/>
  <c r="T214"/>
  <c r="R214"/>
  <c r="Q214"/>
  <c r="P214"/>
  <c r="M214"/>
  <c r="U213"/>
  <c r="T213"/>
  <c r="Q213"/>
  <c r="R213" s="1"/>
  <c r="M213"/>
  <c r="U212"/>
  <c r="T212"/>
  <c r="R212"/>
  <c r="Q212"/>
  <c r="P212"/>
  <c r="M212"/>
  <c r="U211"/>
  <c r="T211"/>
  <c r="Q211"/>
  <c r="R211" s="1"/>
  <c r="M211"/>
  <c r="U210"/>
  <c r="T210"/>
  <c r="R210"/>
  <c r="Q210"/>
  <c r="P210"/>
  <c r="M210"/>
  <c r="U209"/>
  <c r="T209"/>
  <c r="Q209"/>
  <c r="R209" s="1"/>
  <c r="M209"/>
  <c r="U208"/>
  <c r="T208"/>
  <c r="R208"/>
  <c r="Q208"/>
  <c r="P208"/>
  <c r="M208"/>
  <c r="U207"/>
  <c r="T207"/>
  <c r="Q207"/>
  <c r="R207" s="1"/>
  <c r="M207"/>
  <c r="U206"/>
  <c r="T206"/>
  <c r="R206"/>
  <c r="Q206"/>
  <c r="P206"/>
  <c r="M206"/>
  <c r="U205"/>
  <c r="T205"/>
  <c r="Q205"/>
  <c r="R205" s="1"/>
  <c r="M205"/>
  <c r="U204"/>
  <c r="T204"/>
  <c r="R204"/>
  <c r="Q204"/>
  <c r="P204"/>
  <c r="M204"/>
  <c r="U203"/>
  <c r="T203"/>
  <c r="Q203"/>
  <c r="R203" s="1"/>
  <c r="M203"/>
  <c r="U202"/>
  <c r="T202"/>
  <c r="R202"/>
  <c r="Q202"/>
  <c r="P202"/>
  <c r="M202"/>
  <c r="U201"/>
  <c r="T201"/>
  <c r="Q201"/>
  <c r="R201" s="1"/>
  <c r="M201"/>
  <c r="U200"/>
  <c r="T200"/>
  <c r="R200"/>
  <c r="Q200"/>
  <c r="P200"/>
  <c r="M200"/>
  <c r="U199"/>
  <c r="T199"/>
  <c r="Q199"/>
  <c r="R199" s="1"/>
  <c r="M199"/>
  <c r="U198"/>
  <c r="T198"/>
  <c r="R198"/>
  <c r="Q198"/>
  <c r="P198"/>
  <c r="M198"/>
  <c r="U197"/>
  <c r="T197"/>
  <c r="Q197"/>
  <c r="R197" s="1"/>
  <c r="M197"/>
  <c r="U196"/>
  <c r="T196"/>
  <c r="R196"/>
  <c r="Q196"/>
  <c r="P196"/>
  <c r="M196"/>
  <c r="U195"/>
  <c r="T195"/>
  <c r="Q195"/>
  <c r="R195" s="1"/>
  <c r="M195"/>
  <c r="U194"/>
  <c r="T194"/>
  <c r="R194"/>
  <c r="Q194"/>
  <c r="P194"/>
  <c r="M194"/>
  <c r="U193"/>
  <c r="T193"/>
  <c r="Q193"/>
  <c r="R193" s="1"/>
  <c r="M193"/>
  <c r="U192"/>
  <c r="T192"/>
  <c r="R192"/>
  <c r="Q192"/>
  <c r="P192"/>
  <c r="M192"/>
  <c r="U191"/>
  <c r="T191"/>
  <c r="Q191"/>
  <c r="R191" s="1"/>
  <c r="M191"/>
  <c r="U190"/>
  <c r="T190"/>
  <c r="R190"/>
  <c r="Q190"/>
  <c r="P190"/>
  <c r="M190"/>
  <c r="U189"/>
  <c r="T189"/>
  <c r="Q189"/>
  <c r="R189" s="1"/>
  <c r="M189"/>
  <c r="U188"/>
  <c r="T188"/>
  <c r="R188"/>
  <c r="Q188"/>
  <c r="P188"/>
  <c r="M188"/>
  <c r="U187"/>
  <c r="T187"/>
  <c r="Q187"/>
  <c r="R187" s="1"/>
  <c r="M187"/>
  <c r="U186"/>
  <c r="T186"/>
  <c r="R186"/>
  <c r="Q186"/>
  <c r="P186"/>
  <c r="M186"/>
  <c r="U185"/>
  <c r="T185"/>
  <c r="Q185"/>
  <c r="R185" s="1"/>
  <c r="M185"/>
  <c r="U184"/>
  <c r="T184"/>
  <c r="R184"/>
  <c r="Q184"/>
  <c r="P184"/>
  <c r="M184"/>
  <c r="U183"/>
  <c r="T183"/>
  <c r="Q183"/>
  <c r="R183" s="1"/>
  <c r="M183"/>
  <c r="U182"/>
  <c r="T182"/>
  <c r="R182"/>
  <c r="Q182"/>
  <c r="P182"/>
  <c r="M182"/>
  <c r="U181"/>
  <c r="T181"/>
  <c r="Q181"/>
  <c r="R181" s="1"/>
  <c r="M181"/>
  <c r="U180"/>
  <c r="T180"/>
  <c r="R180"/>
  <c r="Q180"/>
  <c r="P180"/>
  <c r="M180"/>
  <c r="U179"/>
  <c r="T179"/>
  <c r="Q179"/>
  <c r="R179" s="1"/>
  <c r="M179"/>
  <c r="U178"/>
  <c r="T178"/>
  <c r="R178"/>
  <c r="Q178"/>
  <c r="P178"/>
  <c r="M178"/>
  <c r="U177"/>
  <c r="T177"/>
  <c r="Q177"/>
  <c r="R177" s="1"/>
  <c r="M177"/>
  <c r="U176"/>
  <c r="T176"/>
  <c r="R176"/>
  <c r="Q176"/>
  <c r="P176"/>
  <c r="M176"/>
  <c r="U175"/>
  <c r="T175"/>
  <c r="Q175"/>
  <c r="R175" s="1"/>
  <c r="M175"/>
  <c r="U174"/>
  <c r="T174"/>
  <c r="R174"/>
  <c r="Q174"/>
  <c r="P174"/>
  <c r="M174"/>
  <c r="U173"/>
  <c r="T173"/>
  <c r="Q173"/>
  <c r="R173" s="1"/>
  <c r="M173"/>
  <c r="U172"/>
  <c r="T172"/>
  <c r="R172"/>
  <c r="Q172"/>
  <c r="P172"/>
  <c r="M172"/>
  <c r="U171"/>
  <c r="T171"/>
  <c r="Q171"/>
  <c r="R171" s="1"/>
  <c r="M171"/>
  <c r="U170"/>
  <c r="T170"/>
  <c r="R170"/>
  <c r="Q170"/>
  <c r="P170"/>
  <c r="M170"/>
  <c r="U169"/>
  <c r="T169"/>
  <c r="Q169"/>
  <c r="R169" s="1"/>
  <c r="M169"/>
  <c r="S168"/>
  <c r="U165"/>
  <c r="T165"/>
  <c r="Q165"/>
  <c r="R165" s="1"/>
  <c r="M165"/>
  <c r="U164"/>
  <c r="T164"/>
  <c r="R164"/>
  <c r="Q164"/>
  <c r="P164"/>
  <c r="M164"/>
  <c r="U163"/>
  <c r="T163"/>
  <c r="Q163"/>
  <c r="R163" s="1"/>
  <c r="M163"/>
  <c r="U162"/>
  <c r="T162"/>
  <c r="R162"/>
  <c r="Q162"/>
  <c r="P162"/>
  <c r="M162"/>
  <c r="U161"/>
  <c r="T161"/>
  <c r="Q161"/>
  <c r="R161" s="1"/>
  <c r="M161"/>
  <c r="U160"/>
  <c r="T160"/>
  <c r="R160"/>
  <c r="Q160"/>
  <c r="P160"/>
  <c r="M160"/>
  <c r="U159"/>
  <c r="T159"/>
  <c r="Q159"/>
  <c r="R159" s="1"/>
  <c r="M159"/>
  <c r="U158"/>
  <c r="T158"/>
  <c r="R158"/>
  <c r="Q158"/>
  <c r="P158"/>
  <c r="M158"/>
  <c r="U157"/>
  <c r="T157"/>
  <c r="Q157"/>
  <c r="R157" s="1"/>
  <c r="M157"/>
  <c r="U156"/>
  <c r="T156"/>
  <c r="R156"/>
  <c r="Q156"/>
  <c r="P156"/>
  <c r="M156"/>
  <c r="U155"/>
  <c r="T155"/>
  <c r="Q155"/>
  <c r="R155" s="1"/>
  <c r="M155"/>
  <c r="U154"/>
  <c r="T154"/>
  <c r="R154"/>
  <c r="Q154"/>
  <c r="P154"/>
  <c r="M154"/>
  <c r="U153"/>
  <c r="T153"/>
  <c r="Q153"/>
  <c r="R153" s="1"/>
  <c r="M153"/>
  <c r="U152"/>
  <c r="T152"/>
  <c r="R152"/>
  <c r="Q152"/>
  <c r="P152"/>
  <c r="M152"/>
  <c r="U151"/>
  <c r="T151"/>
  <c r="Q151"/>
  <c r="R151" s="1"/>
  <c r="M151"/>
  <c r="U150"/>
  <c r="T150"/>
  <c r="R150"/>
  <c r="Q150"/>
  <c r="P150"/>
  <c r="M150"/>
  <c r="U149"/>
  <c r="T149"/>
  <c r="Q149"/>
  <c r="R149" s="1"/>
  <c r="M149"/>
  <c r="U148"/>
  <c r="T148"/>
  <c r="R148"/>
  <c r="Q148"/>
  <c r="P148"/>
  <c r="M148"/>
  <c r="U147"/>
  <c r="T147"/>
  <c r="Q147"/>
  <c r="R147" s="1"/>
  <c r="M147"/>
  <c r="U146"/>
  <c r="T146"/>
  <c r="R146"/>
  <c r="Q146"/>
  <c r="P146"/>
  <c r="M146"/>
  <c r="U145"/>
  <c r="T145"/>
  <c r="Q145"/>
  <c r="R145" s="1"/>
  <c r="M145"/>
  <c r="U144"/>
  <c r="T144"/>
  <c r="R144"/>
  <c r="Q144"/>
  <c r="P144"/>
  <c r="M144"/>
  <c r="U143"/>
  <c r="T143"/>
  <c r="Q143"/>
  <c r="R143" s="1"/>
  <c r="M143"/>
  <c r="U142"/>
  <c r="T142"/>
  <c r="R142"/>
  <c r="Q142"/>
  <c r="P142"/>
  <c r="M142"/>
  <c r="U141"/>
  <c r="T141"/>
  <c r="Q141"/>
  <c r="R141" s="1"/>
  <c r="M141"/>
  <c r="U140"/>
  <c r="T140"/>
  <c r="R140"/>
  <c r="Q140"/>
  <c r="P140"/>
  <c r="M140"/>
  <c r="U139"/>
  <c r="T139"/>
  <c r="Q139"/>
  <c r="R139" s="1"/>
  <c r="M139"/>
  <c r="U138"/>
  <c r="T138"/>
  <c r="R138"/>
  <c r="Q138"/>
  <c r="P138"/>
  <c r="M138"/>
  <c r="U137"/>
  <c r="T137"/>
  <c r="Q137"/>
  <c r="R137" s="1"/>
  <c r="M137"/>
  <c r="U136"/>
  <c r="T136"/>
  <c r="R136"/>
  <c r="Q136"/>
  <c r="P136"/>
  <c r="M136"/>
  <c r="U135"/>
  <c r="T135"/>
  <c r="Q135"/>
  <c r="R135" s="1"/>
  <c r="M135"/>
  <c r="U134"/>
  <c r="T134"/>
  <c r="R134"/>
  <c r="Q134"/>
  <c r="P134"/>
  <c r="M134"/>
  <c r="U133"/>
  <c r="T133"/>
  <c r="Q133"/>
  <c r="R133" s="1"/>
  <c r="M133"/>
  <c r="U132"/>
  <c r="T132"/>
  <c r="R132"/>
  <c r="Q132"/>
  <c r="P132"/>
  <c r="M132"/>
  <c r="U131"/>
  <c r="T131"/>
  <c r="Q131"/>
  <c r="R131" s="1"/>
  <c r="M131"/>
  <c r="U130"/>
  <c r="T130"/>
  <c r="R130"/>
  <c r="Q130"/>
  <c r="P130"/>
  <c r="M130"/>
  <c r="U129"/>
  <c r="T129"/>
  <c r="Q129"/>
  <c r="R129" s="1"/>
  <c r="M129"/>
  <c r="U128"/>
  <c r="T128"/>
  <c r="R128"/>
  <c r="Q128"/>
  <c r="P128"/>
  <c r="M128"/>
  <c r="U127"/>
  <c r="T127"/>
  <c r="Q127"/>
  <c r="R127" s="1"/>
  <c r="M127"/>
  <c r="U126"/>
  <c r="T126"/>
  <c r="R126"/>
  <c r="Q126"/>
  <c r="P126"/>
  <c r="M126"/>
  <c r="U125"/>
  <c r="T125"/>
  <c r="Q125"/>
  <c r="R125" s="1"/>
  <c r="M125"/>
  <c r="U124"/>
  <c r="T124"/>
  <c r="R124"/>
  <c r="Q124"/>
  <c r="P124"/>
  <c r="M124"/>
  <c r="U123"/>
  <c r="T123"/>
  <c r="Q123"/>
  <c r="R123" s="1"/>
  <c r="M123"/>
  <c r="U122"/>
  <c r="T122"/>
  <c r="R122"/>
  <c r="Q122"/>
  <c r="P122"/>
  <c r="M122"/>
  <c r="U121"/>
  <c r="T121"/>
  <c r="Q121"/>
  <c r="R121" s="1"/>
  <c r="M121"/>
  <c r="U120"/>
  <c r="T120"/>
  <c r="R120"/>
  <c r="Q120"/>
  <c r="P120"/>
  <c r="M120"/>
  <c r="U119"/>
  <c r="T119"/>
  <c r="Q119"/>
  <c r="R119" s="1"/>
  <c r="M119"/>
  <c r="U118"/>
  <c r="T118"/>
  <c r="R118"/>
  <c r="Q118"/>
  <c r="P118"/>
  <c r="M118"/>
  <c r="U117"/>
  <c r="T117"/>
  <c r="Q117"/>
  <c r="R117" s="1"/>
  <c r="M117"/>
  <c r="U116"/>
  <c r="T116"/>
  <c r="R116"/>
  <c r="Q116"/>
  <c r="P116"/>
  <c r="M116"/>
  <c r="U115"/>
  <c r="T115"/>
  <c r="Q115"/>
  <c r="R115" s="1"/>
  <c r="M115"/>
  <c r="U114"/>
  <c r="T114"/>
  <c r="R114"/>
  <c r="Q114"/>
  <c r="P114"/>
  <c r="M114"/>
  <c r="U113"/>
  <c r="T113"/>
  <c r="Q113"/>
  <c r="R113" s="1"/>
  <c r="M113"/>
  <c r="U112"/>
  <c r="T112"/>
  <c r="R112"/>
  <c r="Q112"/>
  <c r="P112"/>
  <c r="M112"/>
  <c r="U111"/>
  <c r="T111"/>
  <c r="Q111"/>
  <c r="R111" s="1"/>
  <c r="M111"/>
  <c r="U110"/>
  <c r="T110"/>
  <c r="R110"/>
  <c r="Q110"/>
  <c r="P110"/>
  <c r="M110"/>
  <c r="U109"/>
  <c r="T109"/>
  <c r="Q109"/>
  <c r="R109" s="1"/>
  <c r="M109"/>
  <c r="U108"/>
  <c r="R108"/>
  <c r="Q108"/>
  <c r="P108"/>
  <c r="M108"/>
  <c r="S107"/>
  <c r="T108" s="1"/>
  <c r="U104"/>
  <c r="T104"/>
  <c r="R104"/>
  <c r="Q104"/>
  <c r="P104"/>
  <c r="M104"/>
  <c r="U103"/>
  <c r="T103"/>
  <c r="Q103"/>
  <c r="R103" s="1"/>
  <c r="M103"/>
  <c r="U102"/>
  <c r="T102"/>
  <c r="R102"/>
  <c r="Q102"/>
  <c r="P102"/>
  <c r="M102"/>
  <c r="U101"/>
  <c r="T101"/>
  <c r="Q101"/>
  <c r="R101" s="1"/>
  <c r="M101"/>
  <c r="P101" s="1"/>
  <c r="U100"/>
  <c r="T100"/>
  <c r="R100"/>
  <c r="Q100"/>
  <c r="P100"/>
  <c r="M100"/>
  <c r="U99"/>
  <c r="T99"/>
  <c r="Q99"/>
  <c r="R99" s="1"/>
  <c r="M99"/>
  <c r="P99" s="1"/>
  <c r="U98"/>
  <c r="T98"/>
  <c r="R98"/>
  <c r="Q98"/>
  <c r="P98"/>
  <c r="M98"/>
  <c r="U97"/>
  <c r="T97"/>
  <c r="Q97"/>
  <c r="R97" s="1"/>
  <c r="M97"/>
  <c r="P97" s="1"/>
  <c r="U96"/>
  <c r="T96"/>
  <c r="R96"/>
  <c r="Q96"/>
  <c r="P96"/>
  <c r="M96"/>
  <c r="U95"/>
  <c r="T95"/>
  <c r="Q95"/>
  <c r="R95" s="1"/>
  <c r="M95"/>
  <c r="P95" s="1"/>
  <c r="U94"/>
  <c r="T94"/>
  <c r="R94"/>
  <c r="Q94"/>
  <c r="P94"/>
  <c r="M94"/>
  <c r="U93"/>
  <c r="T93"/>
  <c r="Q93"/>
  <c r="R93" s="1"/>
  <c r="M93"/>
  <c r="P93" s="1"/>
  <c r="U92"/>
  <c r="T92"/>
  <c r="R92"/>
  <c r="Q92"/>
  <c r="P92"/>
  <c r="M92"/>
  <c r="U91"/>
  <c r="T91"/>
  <c r="Q91"/>
  <c r="R91" s="1"/>
  <c r="M91"/>
  <c r="P91" s="1"/>
  <c r="U90"/>
  <c r="T90"/>
  <c r="R90"/>
  <c r="Q90"/>
  <c r="M90"/>
  <c r="P90" s="1"/>
  <c r="U89"/>
  <c r="T89"/>
  <c r="Q89"/>
  <c r="R89" s="1"/>
  <c r="M89"/>
  <c r="P89" s="1"/>
  <c r="U88"/>
  <c r="T88"/>
  <c r="R88"/>
  <c r="Q88"/>
  <c r="P88"/>
  <c r="M88"/>
  <c r="U87"/>
  <c r="T87"/>
  <c r="R87"/>
  <c r="Q87"/>
  <c r="M87"/>
  <c r="P87" s="1"/>
  <c r="U86"/>
  <c r="T86"/>
  <c r="Q86"/>
  <c r="R86" s="1"/>
  <c r="M86"/>
  <c r="P86" s="1"/>
  <c r="U85"/>
  <c r="T85"/>
  <c r="R85"/>
  <c r="Q85"/>
  <c r="M85"/>
  <c r="P85" s="1"/>
  <c r="U84"/>
  <c r="T84"/>
  <c r="R84"/>
  <c r="Q84"/>
  <c r="M84"/>
  <c r="U83"/>
  <c r="T83"/>
  <c r="R83"/>
  <c r="Q83"/>
  <c r="P83"/>
  <c r="M83"/>
  <c r="U82"/>
  <c r="T82"/>
  <c r="Q82"/>
  <c r="R82" s="1"/>
  <c r="M82"/>
  <c r="U81"/>
  <c r="T81"/>
  <c r="R81"/>
  <c r="Q81"/>
  <c r="M81"/>
  <c r="P81" s="1"/>
  <c r="U80"/>
  <c r="T80"/>
  <c r="R80"/>
  <c r="Q80"/>
  <c r="M80"/>
  <c r="U79"/>
  <c r="T79"/>
  <c r="R79"/>
  <c r="Q79"/>
  <c r="P79"/>
  <c r="M79"/>
  <c r="U78"/>
  <c r="T78"/>
  <c r="Q78"/>
  <c r="R78" s="1"/>
  <c r="M78"/>
  <c r="U77"/>
  <c r="T77"/>
  <c r="R77"/>
  <c r="Q77"/>
  <c r="M77"/>
  <c r="P77" s="1"/>
  <c r="U76"/>
  <c r="T76"/>
  <c r="Q76"/>
  <c r="R76" s="1"/>
  <c r="M76"/>
  <c r="U75"/>
  <c r="T75"/>
  <c r="R75"/>
  <c r="Q75"/>
  <c r="P75"/>
  <c r="M75"/>
  <c r="U74"/>
  <c r="T74"/>
  <c r="Q74"/>
  <c r="R74" s="1"/>
  <c r="M74"/>
  <c r="U73"/>
  <c r="T73"/>
  <c r="R73"/>
  <c r="Q73"/>
  <c r="P73"/>
  <c r="M73"/>
  <c r="U72"/>
  <c r="T72"/>
  <c r="Q72"/>
  <c r="R72" s="1"/>
  <c r="M72"/>
  <c r="U71"/>
  <c r="T71"/>
  <c r="R71"/>
  <c r="Q71"/>
  <c r="P71"/>
  <c r="M71"/>
  <c r="U70"/>
  <c r="T70"/>
  <c r="Q70"/>
  <c r="R70" s="1"/>
  <c r="M70"/>
  <c r="U69"/>
  <c r="T69"/>
  <c r="R69"/>
  <c r="Q69"/>
  <c r="P69"/>
  <c r="M69"/>
  <c r="U68"/>
  <c r="T68"/>
  <c r="Q68"/>
  <c r="R68" s="1"/>
  <c r="M68"/>
  <c r="U67"/>
  <c r="T67"/>
  <c r="R67"/>
  <c r="Q67"/>
  <c r="P67"/>
  <c r="M67"/>
  <c r="U66"/>
  <c r="T66"/>
  <c r="Q66"/>
  <c r="R66" s="1"/>
  <c r="M66"/>
  <c r="U65"/>
  <c r="T65"/>
  <c r="R65"/>
  <c r="Q65"/>
  <c r="P65"/>
  <c r="M65"/>
  <c r="U64"/>
  <c r="T64"/>
  <c r="Q64"/>
  <c r="R64" s="1"/>
  <c r="M64"/>
  <c r="U63"/>
  <c r="R63"/>
  <c r="Q63"/>
  <c r="P63"/>
  <c r="M63"/>
  <c r="S62"/>
  <c r="T63" s="1"/>
  <c r="U59"/>
  <c r="T59"/>
  <c r="R59"/>
  <c r="Q59"/>
  <c r="P59"/>
  <c r="M59"/>
  <c r="U58"/>
  <c r="T58"/>
  <c r="Q58"/>
  <c r="R58" s="1"/>
  <c r="M58"/>
  <c r="U57"/>
  <c r="T57"/>
  <c r="R57"/>
  <c r="Q57"/>
  <c r="P57"/>
  <c r="M57"/>
  <c r="U56"/>
  <c r="T56"/>
  <c r="Q56"/>
  <c r="R56" s="1"/>
  <c r="M56"/>
  <c r="U55"/>
  <c r="T55"/>
  <c r="R55"/>
  <c r="Q55"/>
  <c r="P55"/>
  <c r="M55"/>
  <c r="U54"/>
  <c r="T54"/>
  <c r="Q54"/>
  <c r="R54" s="1"/>
  <c r="M54"/>
  <c r="U53"/>
  <c r="T53"/>
  <c r="R53"/>
  <c r="Q53"/>
  <c r="P53"/>
  <c r="M53"/>
  <c r="U52"/>
  <c r="T52"/>
  <c r="Q52"/>
  <c r="R52" s="1"/>
  <c r="M52"/>
  <c r="U51"/>
  <c r="T51"/>
  <c r="R51"/>
  <c r="Q51"/>
  <c r="P51"/>
  <c r="M51"/>
  <c r="U50"/>
  <c r="T50"/>
  <c r="Q50"/>
  <c r="R50" s="1"/>
  <c r="M50"/>
  <c r="U49"/>
  <c r="T49"/>
  <c r="R49"/>
  <c r="Q49"/>
  <c r="P49"/>
  <c r="M49"/>
  <c r="U48"/>
  <c r="T48"/>
  <c r="Q48"/>
  <c r="R48" s="1"/>
  <c r="M48"/>
  <c r="U47"/>
  <c r="T47"/>
  <c r="R47"/>
  <c r="Q47"/>
  <c r="P47"/>
  <c r="M47"/>
  <c r="U46"/>
  <c r="T46"/>
  <c r="Q46"/>
  <c r="R46" s="1"/>
  <c r="M46"/>
  <c r="U45"/>
  <c r="T45"/>
  <c r="R45"/>
  <c r="Q45"/>
  <c r="P45"/>
  <c r="M45"/>
  <c r="U44"/>
  <c r="T44"/>
  <c r="Q44"/>
  <c r="R44" s="1"/>
  <c r="M44"/>
  <c r="U43"/>
  <c r="T43"/>
  <c r="R43"/>
  <c r="Q43"/>
  <c r="P43"/>
  <c r="M43"/>
  <c r="U42"/>
  <c r="T42"/>
  <c r="Q42"/>
  <c r="R42" s="1"/>
  <c r="M42"/>
  <c r="U41"/>
  <c r="T41"/>
  <c r="R41"/>
  <c r="Q41"/>
  <c r="P41"/>
  <c r="M41"/>
  <c r="U40"/>
  <c r="T40"/>
  <c r="Q40"/>
  <c r="R40" s="1"/>
  <c r="M40"/>
  <c r="U39"/>
  <c r="T39"/>
  <c r="R39"/>
  <c r="Q39"/>
  <c r="P39"/>
  <c r="M39"/>
  <c r="U38"/>
  <c r="T38"/>
  <c r="Q38"/>
  <c r="R38" s="1"/>
  <c r="M38"/>
  <c r="U37"/>
  <c r="T37"/>
  <c r="R37"/>
  <c r="Q37"/>
  <c r="P37"/>
  <c r="M37"/>
  <c r="U36"/>
  <c r="T36"/>
  <c r="Q36"/>
  <c r="R36" s="1"/>
  <c r="M36"/>
  <c r="U35"/>
  <c r="T35"/>
  <c r="R35"/>
  <c r="Q35"/>
  <c r="P35"/>
  <c r="M35"/>
  <c r="U34"/>
  <c r="T34"/>
  <c r="Q34"/>
  <c r="R34" s="1"/>
  <c r="M34"/>
  <c r="U33"/>
  <c r="T33"/>
  <c r="R33"/>
  <c r="Q33"/>
  <c r="P33"/>
  <c r="M33"/>
  <c r="U32"/>
  <c r="T32"/>
  <c r="Q32"/>
  <c r="R32" s="1"/>
  <c r="M32"/>
  <c r="U31"/>
  <c r="T31"/>
  <c r="R31"/>
  <c r="Q31"/>
  <c r="P31"/>
  <c r="M31"/>
  <c r="U30"/>
  <c r="T30"/>
  <c r="Q30"/>
  <c r="R30" s="1"/>
  <c r="M30"/>
  <c r="U29"/>
  <c r="T29"/>
  <c r="R29"/>
  <c r="Q29"/>
  <c r="P29"/>
  <c r="M29"/>
  <c r="U28"/>
  <c r="T28"/>
  <c r="Q28"/>
  <c r="R28" s="1"/>
  <c r="M28"/>
  <c r="U27"/>
  <c r="T27"/>
  <c r="R27"/>
  <c r="Q27"/>
  <c r="P27"/>
  <c r="M27"/>
  <c r="U26"/>
  <c r="T26"/>
  <c r="Q26"/>
  <c r="R26" s="1"/>
  <c r="M26"/>
  <c r="U25"/>
  <c r="T25"/>
  <c r="R25"/>
  <c r="Q25"/>
  <c r="P25"/>
  <c r="M25"/>
  <c r="U24"/>
  <c r="T24"/>
  <c r="Q24"/>
  <c r="R24" s="1"/>
  <c r="M24"/>
  <c r="U23"/>
  <c r="T23"/>
  <c r="R23"/>
  <c r="Q23"/>
  <c r="P23"/>
  <c r="M23"/>
  <c r="U22"/>
  <c r="T22"/>
  <c r="Q22"/>
  <c r="R22" s="1"/>
  <c r="M22"/>
  <c r="U21"/>
  <c r="T21"/>
  <c r="R21"/>
  <c r="Q21"/>
  <c r="P21"/>
  <c r="M21"/>
  <c r="U20"/>
  <c r="T20"/>
  <c r="Q20"/>
  <c r="R20" s="1"/>
  <c r="M20"/>
  <c r="U19"/>
  <c r="T19"/>
  <c r="R19"/>
  <c r="Q19"/>
  <c r="P19"/>
  <c r="M19"/>
  <c r="U18"/>
  <c r="T18"/>
  <c r="Q18"/>
  <c r="R18" s="1"/>
  <c r="M18"/>
  <c r="U17"/>
  <c r="T17"/>
  <c r="R17"/>
  <c r="Q17"/>
  <c r="P17"/>
  <c r="M17"/>
  <c r="U16"/>
  <c r="T16"/>
  <c r="Q16"/>
  <c r="R16" s="1"/>
  <c r="M16"/>
  <c r="U15"/>
  <c r="T15"/>
  <c r="R15"/>
  <c r="Q15"/>
  <c r="P15"/>
  <c r="M15"/>
  <c r="U14"/>
  <c r="T14"/>
  <c r="Q14"/>
  <c r="R14" s="1"/>
  <c r="M14"/>
  <c r="U13"/>
  <c r="T13"/>
  <c r="R13"/>
  <c r="Q13"/>
  <c r="P13"/>
  <c r="M13"/>
  <c r="U12"/>
  <c r="T12"/>
  <c r="Q12"/>
  <c r="R12" s="1"/>
  <c r="M12"/>
  <c r="U11"/>
  <c r="T11"/>
  <c r="R11"/>
  <c r="Q11"/>
  <c r="P11"/>
  <c r="M11"/>
  <c r="U10"/>
  <c r="T10"/>
  <c r="Q10"/>
  <c r="R10" s="1"/>
  <c r="M10"/>
  <c r="U9"/>
  <c r="T9"/>
  <c r="R9"/>
  <c r="Q9"/>
  <c r="P9"/>
  <c r="M9"/>
  <c r="U8"/>
  <c r="T8"/>
  <c r="T4" s="1"/>
  <c r="Q8"/>
  <c r="R8" s="1"/>
  <c r="M8"/>
  <c r="M5"/>
  <c r="AM3"/>
  <c r="AD3"/>
  <c r="AD4" s="1"/>
  <c r="AC3"/>
  <c r="AC4" s="1"/>
  <c r="AB3"/>
  <c r="AB4" s="1"/>
  <c r="AA3"/>
  <c r="AA4" s="1"/>
  <c r="Z3"/>
  <c r="Z4" s="1"/>
  <c r="Y3"/>
  <c r="Y4" s="1"/>
  <c r="D3"/>
  <c r="C3"/>
  <c r="AI2"/>
  <c r="AH2"/>
  <c r="AG2"/>
  <c r="U2"/>
  <c r="T2"/>
  <c r="H2"/>
  <c r="AL2" s="1"/>
  <c r="AM2" s="1"/>
  <c r="AD1"/>
  <c r="AC1"/>
  <c r="AB1"/>
  <c r="AA1"/>
  <c r="Z1"/>
  <c r="F4" i="4"/>
  <c r="A4"/>
  <c r="X8" i="5" l="1"/>
  <c r="X63"/>
  <c r="X80"/>
  <c r="X84"/>
  <c r="X93"/>
  <c r="X87"/>
  <c r="X86"/>
  <c r="X9"/>
  <c r="X12"/>
  <c r="X13"/>
  <c r="X16"/>
  <c r="X17"/>
  <c r="X20"/>
  <c r="X21"/>
  <c r="X24"/>
  <c r="X25"/>
  <c r="X28"/>
  <c r="X29"/>
  <c r="X32"/>
  <c r="X33"/>
  <c r="X36"/>
  <c r="X37"/>
  <c r="X40"/>
  <c r="X41"/>
  <c r="X44"/>
  <c r="X45"/>
  <c r="X48"/>
  <c r="X49"/>
  <c r="X52"/>
  <c r="X53"/>
  <c r="X56"/>
  <c r="X57"/>
  <c r="X66"/>
  <c r="X67"/>
  <c r="X70"/>
  <c r="X71"/>
  <c r="X74"/>
  <c r="X75"/>
  <c r="X78"/>
  <c r="X79"/>
  <c r="X82"/>
  <c r="X83"/>
  <c r="X10"/>
  <c r="X11"/>
  <c r="X14"/>
  <c r="X15"/>
  <c r="X18"/>
  <c r="X19"/>
  <c r="X22"/>
  <c r="X23"/>
  <c r="X26"/>
  <c r="X27"/>
  <c r="X30"/>
  <c r="X31"/>
  <c r="X34"/>
  <c r="X35"/>
  <c r="X38"/>
  <c r="X39"/>
  <c r="X42"/>
  <c r="X43"/>
  <c r="X46"/>
  <c r="X47"/>
  <c r="X50"/>
  <c r="X51"/>
  <c r="X54"/>
  <c r="X55"/>
  <c r="X58"/>
  <c r="X59"/>
  <c r="X64"/>
  <c r="X65"/>
  <c r="X68"/>
  <c r="X69"/>
  <c r="X72"/>
  <c r="X73"/>
  <c r="X76"/>
  <c r="Q2"/>
  <c r="R2" s="1"/>
  <c r="P8"/>
  <c r="P12"/>
  <c r="P16"/>
  <c r="P20"/>
  <c r="P24"/>
  <c r="P28"/>
  <c r="P32"/>
  <c r="P36"/>
  <c r="P40"/>
  <c r="P44"/>
  <c r="P48"/>
  <c r="P52"/>
  <c r="P56"/>
  <c r="P64"/>
  <c r="P68"/>
  <c r="P72"/>
  <c r="P76"/>
  <c r="X77"/>
  <c r="P80"/>
  <c r="X81"/>
  <c r="P84"/>
  <c r="X85"/>
  <c r="X94"/>
  <c r="X95"/>
  <c r="X111"/>
  <c r="X112"/>
  <c r="X115"/>
  <c r="X116"/>
  <c r="X119"/>
  <c r="X120"/>
  <c r="X123"/>
  <c r="X124"/>
  <c r="X127"/>
  <c r="X128"/>
  <c r="X131"/>
  <c r="X132"/>
  <c r="X135"/>
  <c r="X136"/>
  <c r="X139"/>
  <c r="X140"/>
  <c r="X143"/>
  <c r="X144"/>
  <c r="X147"/>
  <c r="X148"/>
  <c r="X151"/>
  <c r="X152"/>
  <c r="X155"/>
  <c r="X156"/>
  <c r="X159"/>
  <c r="X160"/>
  <c r="X163"/>
  <c r="X164"/>
  <c r="X221"/>
  <c r="X222"/>
  <c r="X231"/>
  <c r="X232"/>
  <c r="X237"/>
  <c r="X238"/>
  <c r="X247"/>
  <c r="X248"/>
  <c r="X253"/>
  <c r="X301"/>
  <c r="X305"/>
  <c r="X309"/>
  <c r="X313"/>
  <c r="X317"/>
  <c r="X321"/>
  <c r="X325"/>
  <c r="X329"/>
  <c r="X333"/>
  <c r="X337"/>
  <c r="X341"/>
  <c r="X345"/>
  <c r="X349"/>
  <c r="X353"/>
  <c r="X357"/>
  <c r="X367"/>
  <c r="X371"/>
  <c r="X375"/>
  <c r="X379"/>
  <c r="X383"/>
  <c r="X387"/>
  <c r="X391"/>
  <c r="X395"/>
  <c r="X399"/>
  <c r="X403"/>
  <c r="X407"/>
  <c r="X414"/>
  <c r="X418"/>
  <c r="X422"/>
  <c r="X426"/>
  <c r="X430"/>
  <c r="X434"/>
  <c r="X438"/>
  <c r="X442"/>
  <c r="X449"/>
  <c r="X453"/>
  <c r="X457"/>
  <c r="X9" i="6"/>
  <c r="W2"/>
  <c r="V2"/>
  <c r="X241"/>
  <c r="X245"/>
  <c r="X229"/>
  <c r="X209"/>
  <c r="X193"/>
  <c r="X124"/>
  <c r="X121"/>
  <c r="X116"/>
  <c r="X114"/>
  <c r="X169"/>
  <c r="X161"/>
  <c r="X153"/>
  <c r="X145"/>
  <c r="X137"/>
  <c r="X126"/>
  <c r="X237"/>
  <c r="X217"/>
  <c r="X201"/>
  <c r="X185"/>
  <c r="X132"/>
  <c r="X130"/>
  <c r="X129"/>
  <c r="X44"/>
  <c r="X36"/>
  <c r="X28"/>
  <c r="X20"/>
  <c r="X10"/>
  <c r="X16"/>
  <c r="X14"/>
  <c r="X13"/>
  <c r="X17"/>
  <c r="X89" i="5"/>
  <c r="X90"/>
  <c r="X92"/>
  <c r="X100"/>
  <c r="X169"/>
  <c r="X170"/>
  <c r="X173"/>
  <c r="X174"/>
  <c r="X177"/>
  <c r="X178"/>
  <c r="X181"/>
  <c r="X182"/>
  <c r="X185"/>
  <c r="X186"/>
  <c r="X189"/>
  <c r="X190"/>
  <c r="X193"/>
  <c r="X194"/>
  <c r="X197"/>
  <c r="X198"/>
  <c r="X201"/>
  <c r="X202"/>
  <c r="X205"/>
  <c r="X206"/>
  <c r="X209"/>
  <c r="X210"/>
  <c r="X213"/>
  <c r="X214"/>
  <c r="X219"/>
  <c r="X220"/>
  <c r="X225"/>
  <c r="X226"/>
  <c r="X235"/>
  <c r="X236"/>
  <c r="X241"/>
  <c r="X242"/>
  <c r="X251"/>
  <c r="X252"/>
  <c r="X257"/>
  <c r="X261"/>
  <c r="X265"/>
  <c r="X269"/>
  <c r="X273"/>
  <c r="X277"/>
  <c r="X281"/>
  <c r="X285"/>
  <c r="X289"/>
  <c r="X293"/>
  <c r="X413"/>
  <c r="X417"/>
  <c r="X421"/>
  <c r="X425"/>
  <c r="X429"/>
  <c r="X433"/>
  <c r="X437"/>
  <c r="X441"/>
  <c r="X448"/>
  <c r="X452"/>
  <c r="X456"/>
  <c r="M2"/>
  <c r="P10"/>
  <c r="P14"/>
  <c r="P18"/>
  <c r="P22"/>
  <c r="P26"/>
  <c r="P30"/>
  <c r="P34"/>
  <c r="P38"/>
  <c r="P42"/>
  <c r="P46"/>
  <c r="P50"/>
  <c r="P54"/>
  <c r="P58"/>
  <c r="P66"/>
  <c r="P70"/>
  <c r="P74"/>
  <c r="P78"/>
  <c r="P82"/>
  <c r="X91"/>
  <c r="X98"/>
  <c r="X99"/>
  <c r="X102"/>
  <c r="X104"/>
  <c r="X109"/>
  <c r="X110"/>
  <c r="X113"/>
  <c r="X114"/>
  <c r="X117"/>
  <c r="X118"/>
  <c r="X121"/>
  <c r="X122"/>
  <c r="X125"/>
  <c r="X126"/>
  <c r="X129"/>
  <c r="X130"/>
  <c r="X133"/>
  <c r="X134"/>
  <c r="X137"/>
  <c r="X138"/>
  <c r="X141"/>
  <c r="X142"/>
  <c r="X145"/>
  <c r="X146"/>
  <c r="X149"/>
  <c r="X150"/>
  <c r="X153"/>
  <c r="X154"/>
  <c r="X157"/>
  <c r="X158"/>
  <c r="X161"/>
  <c r="X162"/>
  <c r="X165"/>
  <c r="X218"/>
  <c r="X223"/>
  <c r="X224"/>
  <c r="X229"/>
  <c r="X230"/>
  <c r="X239"/>
  <c r="X240"/>
  <c r="X245"/>
  <c r="X246"/>
  <c r="X256"/>
  <c r="X260"/>
  <c r="X264"/>
  <c r="X268"/>
  <c r="X272"/>
  <c r="X276"/>
  <c r="X280"/>
  <c r="X284"/>
  <c r="X288"/>
  <c r="X292"/>
  <c r="X299"/>
  <c r="X303"/>
  <c r="X307"/>
  <c r="X311"/>
  <c r="X315"/>
  <c r="X319"/>
  <c r="X323"/>
  <c r="X327"/>
  <c r="X331"/>
  <c r="X335"/>
  <c r="X339"/>
  <c r="X343"/>
  <c r="X347"/>
  <c r="X351"/>
  <c r="X355"/>
  <c r="X359"/>
  <c r="X365"/>
  <c r="X369"/>
  <c r="X373"/>
  <c r="X377"/>
  <c r="X381"/>
  <c r="X385"/>
  <c r="X389"/>
  <c r="X393"/>
  <c r="X397"/>
  <c r="X401"/>
  <c r="X405"/>
  <c r="X446"/>
  <c r="X447"/>
  <c r="X451"/>
  <c r="X455"/>
  <c r="X88"/>
  <c r="X96"/>
  <c r="X97"/>
  <c r="X101"/>
  <c r="X103"/>
  <c r="X108"/>
  <c r="X171"/>
  <c r="X172"/>
  <c r="X175"/>
  <c r="X176"/>
  <c r="X179"/>
  <c r="X180"/>
  <c r="X183"/>
  <c r="X184"/>
  <c r="X187"/>
  <c r="X188"/>
  <c r="X191"/>
  <c r="X192"/>
  <c r="X195"/>
  <c r="X196"/>
  <c r="X199"/>
  <c r="X200"/>
  <c r="X203"/>
  <c r="X204"/>
  <c r="X207"/>
  <c r="X208"/>
  <c r="X211"/>
  <c r="X212"/>
  <c r="X227"/>
  <c r="X228"/>
  <c r="X233"/>
  <c r="X234"/>
  <c r="X243"/>
  <c r="X244"/>
  <c r="X249"/>
  <c r="X250"/>
  <c r="X255"/>
  <c r="X259"/>
  <c r="X263"/>
  <c r="X267"/>
  <c r="X271"/>
  <c r="X275"/>
  <c r="X279"/>
  <c r="X283"/>
  <c r="X287"/>
  <c r="X291"/>
  <c r="X297"/>
  <c r="X298"/>
  <c r="X302"/>
  <c r="X306"/>
  <c r="X310"/>
  <c r="X314"/>
  <c r="X318"/>
  <c r="X322"/>
  <c r="X326"/>
  <c r="X330"/>
  <c r="X334"/>
  <c r="X338"/>
  <c r="X342"/>
  <c r="X346"/>
  <c r="X350"/>
  <c r="X354"/>
  <c r="X358"/>
  <c r="X364"/>
  <c r="X368"/>
  <c r="X372"/>
  <c r="X376"/>
  <c r="X380"/>
  <c r="X384"/>
  <c r="X388"/>
  <c r="X392"/>
  <c r="X396"/>
  <c r="X400"/>
  <c r="X404"/>
  <c r="X408"/>
  <c r="X415"/>
  <c r="X419"/>
  <c r="X423"/>
  <c r="X427"/>
  <c r="X431"/>
  <c r="X435"/>
  <c r="X439"/>
  <c r="X450"/>
  <c r="X454"/>
  <c r="P103"/>
  <c r="P109"/>
  <c r="P113"/>
  <c r="P117"/>
  <c r="P121"/>
  <c r="P125"/>
  <c r="P129"/>
  <c r="P133"/>
  <c r="P137"/>
  <c r="P141"/>
  <c r="P145"/>
  <c r="P149"/>
  <c r="P153"/>
  <c r="P157"/>
  <c r="P161"/>
  <c r="P165"/>
  <c r="P171"/>
  <c r="P175"/>
  <c r="P179"/>
  <c r="P183"/>
  <c r="P187"/>
  <c r="P191"/>
  <c r="P195"/>
  <c r="P199"/>
  <c r="P203"/>
  <c r="P207"/>
  <c r="P211"/>
  <c r="P221"/>
  <c r="P225"/>
  <c r="P229"/>
  <c r="P233"/>
  <c r="P237"/>
  <c r="P241"/>
  <c r="P245"/>
  <c r="P249"/>
  <c r="P253"/>
  <c r="X254"/>
  <c r="P257"/>
  <c r="X258"/>
  <c r="P261"/>
  <c r="X262"/>
  <c r="P265"/>
  <c r="X266"/>
  <c r="P269"/>
  <c r="X270"/>
  <c r="P273"/>
  <c r="X274"/>
  <c r="P277"/>
  <c r="X278"/>
  <c r="P281"/>
  <c r="X282"/>
  <c r="P285"/>
  <c r="X286"/>
  <c r="P289"/>
  <c r="X290"/>
  <c r="P293"/>
  <c r="P299"/>
  <c r="X300"/>
  <c r="P303"/>
  <c r="X304"/>
  <c r="P307"/>
  <c r="X308"/>
  <c r="P311"/>
  <c r="X312"/>
  <c r="P315"/>
  <c r="X316"/>
  <c r="P319"/>
  <c r="X320"/>
  <c r="P323"/>
  <c r="X324"/>
  <c r="P327"/>
  <c r="X328"/>
  <c r="P331"/>
  <c r="X332"/>
  <c r="P335"/>
  <c r="X336"/>
  <c r="P339"/>
  <c r="X340"/>
  <c r="P343"/>
  <c r="X344"/>
  <c r="P347"/>
  <c r="X348"/>
  <c r="P351"/>
  <c r="X352"/>
  <c r="P355"/>
  <c r="X356"/>
  <c r="P359"/>
  <c r="X360"/>
  <c r="P365"/>
  <c r="X366"/>
  <c r="P369"/>
  <c r="X370"/>
  <c r="P373"/>
  <c r="X374"/>
  <c r="P377"/>
  <c r="X378"/>
  <c r="P381"/>
  <c r="X382"/>
  <c r="P385"/>
  <c r="X386"/>
  <c r="P389"/>
  <c r="X390"/>
  <c r="P393"/>
  <c r="X394"/>
  <c r="P397"/>
  <c r="X398"/>
  <c r="P401"/>
  <c r="X402"/>
  <c r="P405"/>
  <c r="X406"/>
  <c r="X412"/>
  <c r="P415"/>
  <c r="X416"/>
  <c r="P419"/>
  <c r="X420"/>
  <c r="P423"/>
  <c r="X424"/>
  <c r="P427"/>
  <c r="X428"/>
  <c r="P431"/>
  <c r="X432"/>
  <c r="P435"/>
  <c r="X436"/>
  <c r="P439"/>
  <c r="X440"/>
  <c r="P449"/>
  <c r="P453"/>
  <c r="P457"/>
  <c r="P9" i="6"/>
  <c r="X18"/>
  <c r="X21"/>
  <c r="X24"/>
  <c r="X29"/>
  <c r="X32"/>
  <c r="X37"/>
  <c r="X40"/>
  <c r="X45"/>
  <c r="X53"/>
  <c r="X56"/>
  <c r="X58"/>
  <c r="X61"/>
  <c r="X63"/>
  <c r="X72"/>
  <c r="X74"/>
  <c r="X83"/>
  <c r="X84"/>
  <c r="X87"/>
  <c r="X88"/>
  <c r="X91"/>
  <c r="X92"/>
  <c r="X95"/>
  <c r="X96"/>
  <c r="X99"/>
  <c r="X100"/>
  <c r="X103"/>
  <c r="X104"/>
  <c r="X107"/>
  <c r="X108"/>
  <c r="X111"/>
  <c r="X112"/>
  <c r="X133"/>
  <c r="X138"/>
  <c r="X146"/>
  <c r="X154"/>
  <c r="X162"/>
  <c r="P220" i="5"/>
  <c r="P224"/>
  <c r="P228"/>
  <c r="P232"/>
  <c r="P236"/>
  <c r="P240"/>
  <c r="P244"/>
  <c r="P248"/>
  <c r="P252"/>
  <c r="P256"/>
  <c r="P260"/>
  <c r="P264"/>
  <c r="P268"/>
  <c r="P272"/>
  <c r="P276"/>
  <c r="P280"/>
  <c r="P284"/>
  <c r="P288"/>
  <c r="P292"/>
  <c r="P298"/>
  <c r="P302"/>
  <c r="P306"/>
  <c r="P310"/>
  <c r="P314"/>
  <c r="P318"/>
  <c r="P322"/>
  <c r="P326"/>
  <c r="P330"/>
  <c r="P334"/>
  <c r="P338"/>
  <c r="P342"/>
  <c r="P346"/>
  <c r="P350"/>
  <c r="P354"/>
  <c r="P358"/>
  <c r="P414"/>
  <c r="P418"/>
  <c r="P422"/>
  <c r="P426"/>
  <c r="P430"/>
  <c r="P434"/>
  <c r="P438"/>
  <c r="P442"/>
  <c r="P448"/>
  <c r="P452"/>
  <c r="P456"/>
  <c r="X19" i="6"/>
  <c r="X23"/>
  <c r="X26"/>
  <c r="X31"/>
  <c r="X34"/>
  <c r="X39"/>
  <c r="X42"/>
  <c r="X52"/>
  <c r="X57"/>
  <c r="X59"/>
  <c r="X68"/>
  <c r="X70"/>
  <c r="X73"/>
  <c r="X75"/>
  <c r="X76"/>
  <c r="X79"/>
  <c r="P111" i="5"/>
  <c r="P115"/>
  <c r="P119"/>
  <c r="P123"/>
  <c r="P127"/>
  <c r="P131"/>
  <c r="P135"/>
  <c r="P139"/>
  <c r="P143"/>
  <c r="P147"/>
  <c r="P151"/>
  <c r="P155"/>
  <c r="P159"/>
  <c r="P163"/>
  <c r="P169"/>
  <c r="P173"/>
  <c r="P177"/>
  <c r="P181"/>
  <c r="P185"/>
  <c r="P189"/>
  <c r="P193"/>
  <c r="P197"/>
  <c r="P201"/>
  <c r="P205"/>
  <c r="P209"/>
  <c r="P213"/>
  <c r="P219"/>
  <c r="P223"/>
  <c r="P227"/>
  <c r="P231"/>
  <c r="P235"/>
  <c r="P239"/>
  <c r="P243"/>
  <c r="P247"/>
  <c r="P251"/>
  <c r="X12" i="6"/>
  <c r="X15"/>
  <c r="X25"/>
  <c r="X33"/>
  <c r="X41"/>
  <c r="X54"/>
  <c r="X55"/>
  <c r="X64"/>
  <c r="X66"/>
  <c r="X69"/>
  <c r="X71"/>
  <c r="X86"/>
  <c r="X90"/>
  <c r="X94"/>
  <c r="X98"/>
  <c r="X102"/>
  <c r="X106"/>
  <c r="X110"/>
  <c r="X142"/>
  <c r="X150"/>
  <c r="X158"/>
  <c r="X166"/>
  <c r="X8"/>
  <c r="X11"/>
  <c r="X22"/>
  <c r="X27"/>
  <c r="X30"/>
  <c r="X35"/>
  <c r="X38"/>
  <c r="X43"/>
  <c r="X46"/>
  <c r="X50"/>
  <c r="X51"/>
  <c r="X60"/>
  <c r="X62"/>
  <c r="X65"/>
  <c r="X67"/>
  <c r="X78"/>
  <c r="X134"/>
  <c r="X170"/>
  <c r="X178"/>
  <c r="X77"/>
  <c r="X85"/>
  <c r="X89"/>
  <c r="X93"/>
  <c r="X97"/>
  <c r="X101"/>
  <c r="X105"/>
  <c r="X109"/>
  <c r="X113"/>
  <c r="X135"/>
  <c r="P178"/>
  <c r="X182"/>
  <c r="X191"/>
  <c r="X196"/>
  <c r="X198"/>
  <c r="X207"/>
  <c r="X212"/>
  <c r="X214"/>
  <c r="X223"/>
  <c r="X232"/>
  <c r="X234"/>
  <c r="X243"/>
  <c r="X248"/>
  <c r="X252"/>
  <c r="X256"/>
  <c r="X264"/>
  <c r="X272"/>
  <c r="X280"/>
  <c r="P55"/>
  <c r="P59"/>
  <c r="P63"/>
  <c r="P67"/>
  <c r="P71"/>
  <c r="P75"/>
  <c r="P79"/>
  <c r="P83"/>
  <c r="P87"/>
  <c r="P91"/>
  <c r="P95"/>
  <c r="P99"/>
  <c r="P103"/>
  <c r="P107"/>
  <c r="P111"/>
  <c r="X125"/>
  <c r="X128"/>
  <c r="X131"/>
  <c r="P133"/>
  <c r="X139"/>
  <c r="X140"/>
  <c r="P142"/>
  <c r="X147"/>
  <c r="X148"/>
  <c r="P150"/>
  <c r="X155"/>
  <c r="X156"/>
  <c r="P158"/>
  <c r="X163"/>
  <c r="X164"/>
  <c r="P166"/>
  <c r="X171"/>
  <c r="X172"/>
  <c r="X181"/>
  <c r="X187"/>
  <c r="X192"/>
  <c r="X194"/>
  <c r="X197"/>
  <c r="X203"/>
  <c r="X208"/>
  <c r="X210"/>
  <c r="X213"/>
  <c r="X219"/>
  <c r="X224"/>
  <c r="X228"/>
  <c r="X230"/>
  <c r="X233"/>
  <c r="X239"/>
  <c r="X244"/>
  <c r="X246"/>
  <c r="X251"/>
  <c r="X255"/>
  <c r="X258"/>
  <c r="X263"/>
  <c r="X266"/>
  <c r="X271"/>
  <c r="X274"/>
  <c r="X279"/>
  <c r="X282"/>
  <c r="X122"/>
  <c r="X127"/>
  <c r="X177"/>
  <c r="X179"/>
  <c r="X180"/>
  <c r="X183"/>
  <c r="X188"/>
  <c r="X190"/>
  <c r="X199"/>
  <c r="X204"/>
  <c r="X206"/>
  <c r="X215"/>
  <c r="X220"/>
  <c r="X222"/>
  <c r="X235"/>
  <c r="X240"/>
  <c r="X242"/>
  <c r="X250"/>
  <c r="X254"/>
  <c r="X262"/>
  <c r="X268"/>
  <c r="X276"/>
  <c r="X284"/>
  <c r="X115"/>
  <c r="X120"/>
  <c r="X123"/>
  <c r="X136"/>
  <c r="P138"/>
  <c r="X141"/>
  <c r="X143"/>
  <c r="X144"/>
  <c r="P146"/>
  <c r="X149"/>
  <c r="X151"/>
  <c r="X152"/>
  <c r="P154"/>
  <c r="X157"/>
  <c r="X159"/>
  <c r="X160"/>
  <c r="P162"/>
  <c r="X165"/>
  <c r="X167"/>
  <c r="X168"/>
  <c r="P170"/>
  <c r="X173"/>
  <c r="X184"/>
  <c r="X186"/>
  <c r="X189"/>
  <c r="X195"/>
  <c r="X200"/>
  <c r="X202"/>
  <c r="X205"/>
  <c r="X211"/>
  <c r="X216"/>
  <c r="X218"/>
  <c r="X221"/>
  <c r="X231"/>
  <c r="X236"/>
  <c r="X238"/>
  <c r="X247"/>
  <c r="X267"/>
  <c r="X270"/>
  <c r="X275"/>
  <c r="X278"/>
  <c r="X283"/>
  <c r="X249"/>
  <c r="X253"/>
  <c r="X257"/>
  <c r="X265"/>
  <c r="X269"/>
  <c r="X273"/>
  <c r="X277"/>
  <c r="X281"/>
  <c r="X289"/>
  <c r="X295"/>
  <c r="X303"/>
  <c r="X315"/>
  <c r="X285"/>
  <c r="X291"/>
  <c r="X293"/>
  <c r="X294"/>
  <c r="X301"/>
  <c r="X302"/>
  <c r="X307"/>
  <c r="X313"/>
  <c r="X314"/>
  <c r="W5" i="7"/>
  <c r="X5"/>
  <c r="Y5" s="1"/>
  <c r="Z5" s="1"/>
  <c r="AA5" s="1"/>
  <c r="AB5" s="1"/>
  <c r="AC5" s="1"/>
  <c r="AD5" s="1"/>
  <c r="AE5" s="1"/>
  <c r="AF5" s="1"/>
  <c r="AG5" s="1"/>
  <c r="AH5" s="1"/>
  <c r="AI5" s="1"/>
  <c r="AJ5" s="1"/>
  <c r="AJ42"/>
  <c r="AF42"/>
  <c r="AB42"/>
  <c r="X42"/>
  <c r="AK42"/>
  <c r="AG42"/>
  <c r="AC42"/>
  <c r="Y42"/>
  <c r="U42"/>
  <c r="U6"/>
  <c r="AH42"/>
  <c r="AD42"/>
  <c r="Z42"/>
  <c r="V42"/>
  <c r="AI42"/>
  <c r="AE42"/>
  <c r="AA42"/>
  <c r="W42"/>
  <c r="R89"/>
  <c r="R56"/>
  <c r="R1"/>
  <c r="K98" i="8"/>
  <c r="H98"/>
  <c r="P136" i="6"/>
  <c r="P140"/>
  <c r="P144"/>
  <c r="P148"/>
  <c r="P152"/>
  <c r="P156"/>
  <c r="P160"/>
  <c r="P164"/>
  <c r="P168"/>
  <c r="P172"/>
  <c r="P180"/>
  <c r="P184"/>
  <c r="P188"/>
  <c r="P192"/>
  <c r="P196"/>
  <c r="P200"/>
  <c r="P204"/>
  <c r="P208"/>
  <c r="P212"/>
  <c r="P216"/>
  <c r="P220"/>
  <c r="P224"/>
  <c r="P228"/>
  <c r="P232"/>
  <c r="P236"/>
  <c r="P240"/>
  <c r="P244"/>
  <c r="P248"/>
  <c r="P252"/>
  <c r="X286"/>
  <c r="X287"/>
  <c r="X288"/>
  <c r="X292"/>
  <c r="X299"/>
  <c r="X300"/>
  <c r="X305"/>
  <c r="X306"/>
  <c r="X290"/>
  <c r="X304"/>
  <c r="X311"/>
  <c r="X312"/>
  <c r="X316"/>
  <c r="Q8" i="7"/>
  <c r="P288" i="6"/>
  <c r="P292"/>
  <c r="P300"/>
  <c r="P304"/>
  <c r="P316"/>
  <c r="K7" i="7"/>
  <c r="O7"/>
  <c r="E42"/>
  <c r="I42"/>
  <c r="M42"/>
  <c r="Q42"/>
  <c r="D8" i="8"/>
  <c r="I13"/>
  <c r="I18"/>
  <c r="I34"/>
  <c r="I39"/>
  <c r="I44"/>
  <c r="I54"/>
  <c r="I62"/>
  <c r="I74"/>
  <c r="I88"/>
  <c r="T34" i="10"/>
  <c r="T38"/>
  <c r="Y9" i="8"/>
  <c r="D9"/>
  <c r="R10" i="10"/>
  <c r="R6"/>
  <c r="M31" i="11"/>
  <c r="H31"/>
  <c r="P293" i="6"/>
  <c r="P301"/>
  <c r="P305"/>
  <c r="P313"/>
  <c r="B7" i="7"/>
  <c r="F7"/>
  <c r="J7"/>
  <c r="N7"/>
  <c r="R7"/>
  <c r="R8" s="1"/>
  <c r="D42"/>
  <c r="H42"/>
  <c r="L42"/>
  <c r="P42"/>
  <c r="P8" s="1"/>
  <c r="K4" i="8"/>
  <c r="Z7"/>
  <c r="I12"/>
  <c r="I28"/>
  <c r="I33"/>
  <c r="I38"/>
  <c r="Y58"/>
  <c r="I64"/>
  <c r="I78"/>
  <c r="I92"/>
  <c r="T33" i="10"/>
  <c r="T37"/>
  <c r="T134"/>
  <c r="T135"/>
  <c r="K58" i="8"/>
  <c r="Z58"/>
  <c r="T111" i="10"/>
  <c r="T110"/>
  <c r="T109"/>
  <c r="T108"/>
  <c r="T107"/>
  <c r="T106"/>
  <c r="T105"/>
  <c r="T104"/>
  <c r="T103"/>
  <c r="T102"/>
  <c r="T101"/>
  <c r="T29"/>
  <c r="T28"/>
  <c r="T27"/>
  <c r="T26"/>
  <c r="T25"/>
  <c r="T24"/>
  <c r="T23"/>
  <c r="T22"/>
  <c r="T21"/>
  <c r="T125"/>
  <c r="T124"/>
  <c r="T123"/>
  <c r="T122"/>
  <c r="T121"/>
  <c r="T120"/>
  <c r="T119"/>
  <c r="T118"/>
  <c r="T117"/>
  <c r="T116"/>
  <c r="T115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130"/>
  <c r="T129"/>
  <c r="T76"/>
  <c r="T75"/>
  <c r="T74"/>
  <c r="T73"/>
  <c r="T72"/>
  <c r="T71"/>
  <c r="T70"/>
  <c r="T69"/>
  <c r="T68"/>
  <c r="T67"/>
  <c r="T66"/>
  <c r="T65"/>
  <c r="T64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E5" i="7"/>
  <c r="F5" s="1"/>
  <c r="G5" s="1"/>
  <c r="H5" s="1"/>
  <c r="I5" s="1"/>
  <c r="J5" s="1"/>
  <c r="K5" s="1"/>
  <c r="L5" s="1"/>
  <c r="M5" s="1"/>
  <c r="N5" s="1"/>
  <c r="O5" s="1"/>
  <c r="P5" s="1"/>
  <c r="Q5" s="1"/>
  <c r="E7"/>
  <c r="E8" s="1"/>
  <c r="I7"/>
  <c r="I8" s="1"/>
  <c r="M7"/>
  <c r="M8" s="1"/>
  <c r="C42"/>
  <c r="G42"/>
  <c r="G8" s="1"/>
  <c r="K42"/>
  <c r="O42"/>
  <c r="K7" i="8"/>
  <c r="E9"/>
  <c r="T9"/>
  <c r="I22"/>
  <c r="I27"/>
  <c r="I32"/>
  <c r="I48"/>
  <c r="I68"/>
  <c r="I82"/>
  <c r="T10" i="10"/>
  <c r="S10" s="1"/>
  <c r="T11"/>
  <c r="T12"/>
  <c r="T13"/>
  <c r="T14"/>
  <c r="S14" s="1"/>
  <c r="T15"/>
  <c r="T16"/>
  <c r="T17"/>
  <c r="T18"/>
  <c r="S18" s="1"/>
  <c r="T19"/>
  <c r="T20"/>
  <c r="T36"/>
  <c r="T40"/>
  <c r="S40" s="1"/>
  <c r="I99" i="8"/>
  <c r="I93"/>
  <c r="I87"/>
  <c r="I79"/>
  <c r="I73"/>
  <c r="I67"/>
  <c r="I49"/>
  <c r="I43"/>
  <c r="I37"/>
  <c r="I29"/>
  <c r="I23"/>
  <c r="I17"/>
  <c r="D119"/>
  <c r="I102"/>
  <c r="I94"/>
  <c r="I103"/>
  <c r="I97"/>
  <c r="I89"/>
  <c r="I83"/>
  <c r="I77"/>
  <c r="I69"/>
  <c r="I63"/>
  <c r="I53"/>
  <c r="D7" i="7"/>
  <c r="D8" s="1"/>
  <c r="H7"/>
  <c r="H8" s="1"/>
  <c r="L7"/>
  <c r="L8" s="1"/>
  <c r="B42"/>
  <c r="F42"/>
  <c r="J42"/>
  <c r="N42"/>
  <c r="E8" i="8"/>
  <c r="I14"/>
  <c r="I19"/>
  <c r="I24"/>
  <c r="I42"/>
  <c r="I47"/>
  <c r="I52"/>
  <c r="I72"/>
  <c r="I84"/>
  <c r="I104"/>
  <c r="T35" i="10"/>
  <c r="T39"/>
  <c r="H43" i="11"/>
  <c r="T59" i="8"/>
  <c r="K2" i="10"/>
  <c r="I12" i="11"/>
  <c r="I13"/>
  <c r="I16"/>
  <c r="I32"/>
  <c r="I33"/>
  <c r="I36"/>
  <c r="L38"/>
  <c r="H38" s="1"/>
  <c r="M43"/>
  <c r="C48"/>
  <c r="M6"/>
  <c r="I17"/>
  <c r="I18"/>
  <c r="I21"/>
  <c r="I37"/>
  <c r="I41"/>
  <c r="L43"/>
  <c r="D59" i="8"/>
  <c r="O2" i="10"/>
  <c r="P2" s="1"/>
  <c r="I22" i="11"/>
  <c r="I23"/>
  <c r="I26"/>
  <c r="I42"/>
  <c r="I7"/>
  <c r="I8"/>
  <c r="I11"/>
  <c r="I27"/>
  <c r="I28"/>
  <c r="K92" i="8" l="1"/>
  <c r="H92"/>
  <c r="H38"/>
  <c r="K38"/>
  <c r="H56" i="7"/>
  <c r="H1"/>
  <c r="H89"/>
  <c r="H74" i="8"/>
  <c r="K74"/>
  <c r="K39"/>
  <c r="H39"/>
  <c r="K8"/>
  <c r="AL8"/>
  <c r="Z8"/>
  <c r="E56" i="7"/>
  <c r="E1"/>
  <c r="E89"/>
  <c r="V304" i="6"/>
  <c r="C304" s="1"/>
  <c r="W304"/>
  <c r="D304" s="1"/>
  <c r="W305"/>
  <c r="V305"/>
  <c r="V288"/>
  <c r="W288"/>
  <c r="R101" i="7"/>
  <c r="R92"/>
  <c r="R99"/>
  <c r="R102"/>
  <c r="R103"/>
  <c r="R100"/>
  <c r="R98"/>
  <c r="AI89"/>
  <c r="AI56"/>
  <c r="AI1"/>
  <c r="AH56"/>
  <c r="AH1"/>
  <c r="AH89"/>
  <c r="AC1"/>
  <c r="AC89"/>
  <c r="AC56"/>
  <c r="AB1"/>
  <c r="AB89"/>
  <c r="AB56"/>
  <c r="V307" i="6"/>
  <c r="C307" s="1"/>
  <c r="W307"/>
  <c r="D307" s="1"/>
  <c r="W293"/>
  <c r="V293"/>
  <c r="V315"/>
  <c r="W315"/>
  <c r="V281"/>
  <c r="W281"/>
  <c r="V265"/>
  <c r="W265"/>
  <c r="W283"/>
  <c r="V283"/>
  <c r="W267"/>
  <c r="V267"/>
  <c r="W231"/>
  <c r="V231"/>
  <c r="W211"/>
  <c r="V211"/>
  <c r="W195"/>
  <c r="V195"/>
  <c r="V173"/>
  <c r="C173" s="1"/>
  <c r="W173"/>
  <c r="D173" s="1"/>
  <c r="V165"/>
  <c r="W165"/>
  <c r="V157"/>
  <c r="W157"/>
  <c r="V149"/>
  <c r="W149"/>
  <c r="V141"/>
  <c r="W141"/>
  <c r="V120"/>
  <c r="W120"/>
  <c r="V268"/>
  <c r="W268"/>
  <c r="V242"/>
  <c r="W242"/>
  <c r="V220"/>
  <c r="W220"/>
  <c r="W199"/>
  <c r="V199"/>
  <c r="V180"/>
  <c r="W180"/>
  <c r="W122"/>
  <c r="V122"/>
  <c r="W271"/>
  <c r="V271"/>
  <c r="W255"/>
  <c r="V255"/>
  <c r="W239"/>
  <c r="V239"/>
  <c r="V224"/>
  <c r="C224" s="1"/>
  <c r="W224"/>
  <c r="D224" s="1"/>
  <c r="V208"/>
  <c r="W208"/>
  <c r="V192"/>
  <c r="W192"/>
  <c r="W171"/>
  <c r="V171"/>
  <c r="W148"/>
  <c r="D148" s="1"/>
  <c r="V148"/>
  <c r="C148" s="1"/>
  <c r="W139"/>
  <c r="V139"/>
  <c r="V125"/>
  <c r="W125"/>
  <c r="V280"/>
  <c r="C280" s="1"/>
  <c r="W280"/>
  <c r="D280" s="1"/>
  <c r="V252"/>
  <c r="W252"/>
  <c r="V232"/>
  <c r="W232"/>
  <c r="W207"/>
  <c r="D207" s="1"/>
  <c r="V207"/>
  <c r="C207" s="1"/>
  <c r="V182"/>
  <c r="W182"/>
  <c r="V109"/>
  <c r="W109"/>
  <c r="V93"/>
  <c r="W93"/>
  <c r="V178"/>
  <c r="W178"/>
  <c r="W67"/>
  <c r="V67"/>
  <c r="W51"/>
  <c r="V51"/>
  <c r="W38"/>
  <c r="V38"/>
  <c r="W22"/>
  <c r="V22"/>
  <c r="V158"/>
  <c r="W158"/>
  <c r="V106"/>
  <c r="W106"/>
  <c r="V90"/>
  <c r="W90"/>
  <c r="V66"/>
  <c r="C66" s="1"/>
  <c r="W66"/>
  <c r="D66" s="1"/>
  <c r="V41"/>
  <c r="W41"/>
  <c r="W12"/>
  <c r="V12"/>
  <c r="W79"/>
  <c r="D79" s="1"/>
  <c r="V79"/>
  <c r="C79" s="1"/>
  <c r="V70"/>
  <c r="W70"/>
  <c r="V52"/>
  <c r="W52"/>
  <c r="V31"/>
  <c r="W31"/>
  <c r="V146"/>
  <c r="W146"/>
  <c r="W111"/>
  <c r="V111"/>
  <c r="W103"/>
  <c r="V103"/>
  <c r="W95"/>
  <c r="V95"/>
  <c r="W87"/>
  <c r="V87"/>
  <c r="V72"/>
  <c r="W72"/>
  <c r="V56"/>
  <c r="W56"/>
  <c r="V37"/>
  <c r="C37" s="1"/>
  <c r="W37"/>
  <c r="D37" s="1"/>
  <c r="V21"/>
  <c r="C21" s="1"/>
  <c r="W21"/>
  <c r="D21" s="1"/>
  <c r="V436" i="5"/>
  <c r="W436"/>
  <c r="V428"/>
  <c r="W428"/>
  <c r="V420"/>
  <c r="W420"/>
  <c r="V412"/>
  <c r="W412"/>
  <c r="V290"/>
  <c r="W290"/>
  <c r="V282"/>
  <c r="W282"/>
  <c r="V274"/>
  <c r="W274"/>
  <c r="V266"/>
  <c r="W266"/>
  <c r="V258"/>
  <c r="W258"/>
  <c r="V450"/>
  <c r="W450"/>
  <c r="V427"/>
  <c r="W427"/>
  <c r="W408"/>
  <c r="V408"/>
  <c r="W392"/>
  <c r="V392"/>
  <c r="W376"/>
  <c r="V376"/>
  <c r="W358"/>
  <c r="V358"/>
  <c r="W342"/>
  <c r="V342"/>
  <c r="W326"/>
  <c r="V326"/>
  <c r="W310"/>
  <c r="V310"/>
  <c r="V297"/>
  <c r="W297"/>
  <c r="V279"/>
  <c r="W279"/>
  <c r="V263"/>
  <c r="W263"/>
  <c r="V249"/>
  <c r="W249"/>
  <c r="V233"/>
  <c r="W233"/>
  <c r="V211"/>
  <c r="W211"/>
  <c r="V203"/>
  <c r="W203"/>
  <c r="V195"/>
  <c r="W195"/>
  <c r="V187"/>
  <c r="W187"/>
  <c r="V179"/>
  <c r="W179"/>
  <c r="V171"/>
  <c r="W171"/>
  <c r="W97"/>
  <c r="V97"/>
  <c r="V451"/>
  <c r="W451"/>
  <c r="V401"/>
  <c r="W401"/>
  <c r="V385"/>
  <c r="W385"/>
  <c r="V369"/>
  <c r="W369"/>
  <c r="V351"/>
  <c r="W351"/>
  <c r="V335"/>
  <c r="W335"/>
  <c r="V319"/>
  <c r="W319"/>
  <c r="V303"/>
  <c r="W303"/>
  <c r="W284"/>
  <c r="V284"/>
  <c r="W268"/>
  <c r="V268"/>
  <c r="V246"/>
  <c r="W246"/>
  <c r="V230"/>
  <c r="W230"/>
  <c r="V218"/>
  <c r="W218"/>
  <c r="V158"/>
  <c r="W158"/>
  <c r="V150"/>
  <c r="W150"/>
  <c r="V142"/>
  <c r="W142"/>
  <c r="V134"/>
  <c r="W134"/>
  <c r="V126"/>
  <c r="W126"/>
  <c r="V118"/>
  <c r="W118"/>
  <c r="V110"/>
  <c r="W110"/>
  <c r="W99"/>
  <c r="V99"/>
  <c r="W448"/>
  <c r="V448"/>
  <c r="V429"/>
  <c r="W429"/>
  <c r="V413"/>
  <c r="W413"/>
  <c r="V281"/>
  <c r="W281"/>
  <c r="V265"/>
  <c r="W265"/>
  <c r="V251"/>
  <c r="W251"/>
  <c r="V235"/>
  <c r="W235"/>
  <c r="V219"/>
  <c r="W219"/>
  <c r="V209"/>
  <c r="W209"/>
  <c r="V201"/>
  <c r="W201"/>
  <c r="V193"/>
  <c r="W193"/>
  <c r="V185"/>
  <c r="W185"/>
  <c r="V177"/>
  <c r="W177"/>
  <c r="V169"/>
  <c r="W169"/>
  <c r="W89"/>
  <c r="V89"/>
  <c r="V16" i="6"/>
  <c r="W16"/>
  <c r="W36"/>
  <c r="D36" s="1"/>
  <c r="V36"/>
  <c r="C36" s="1"/>
  <c r="V132"/>
  <c r="W132"/>
  <c r="V237"/>
  <c r="W237"/>
  <c r="V153"/>
  <c r="W153"/>
  <c r="W116"/>
  <c r="D116" s="1"/>
  <c r="V116"/>
  <c r="C116" s="1"/>
  <c r="V209"/>
  <c r="W209"/>
  <c r="V453" i="5"/>
  <c r="W453"/>
  <c r="W434"/>
  <c r="V434"/>
  <c r="W418"/>
  <c r="V418"/>
  <c r="V399"/>
  <c r="W399"/>
  <c r="V383"/>
  <c r="W383"/>
  <c r="V367"/>
  <c r="W367"/>
  <c r="V345"/>
  <c r="W345"/>
  <c r="V329"/>
  <c r="W329"/>
  <c r="V313"/>
  <c r="W313"/>
  <c r="V253"/>
  <c r="W253"/>
  <c r="V237"/>
  <c r="W237"/>
  <c r="V221"/>
  <c r="W221"/>
  <c r="V159"/>
  <c r="W159"/>
  <c r="V151"/>
  <c r="W151"/>
  <c r="V143"/>
  <c r="W143"/>
  <c r="V135"/>
  <c r="W135"/>
  <c r="V127"/>
  <c r="W127"/>
  <c r="V119"/>
  <c r="W119"/>
  <c r="V111"/>
  <c r="W111"/>
  <c r="V72"/>
  <c r="W72"/>
  <c r="V64"/>
  <c r="W64"/>
  <c r="V54"/>
  <c r="W54"/>
  <c r="V46"/>
  <c r="W46"/>
  <c r="V38"/>
  <c r="W38"/>
  <c r="V30"/>
  <c r="W30"/>
  <c r="V22"/>
  <c r="W22"/>
  <c r="V14"/>
  <c r="W14"/>
  <c r="V82"/>
  <c r="W82"/>
  <c r="V74"/>
  <c r="W74"/>
  <c r="V66"/>
  <c r="W66"/>
  <c r="V52"/>
  <c r="W52"/>
  <c r="V44"/>
  <c r="W44"/>
  <c r="V36"/>
  <c r="W36"/>
  <c r="V28"/>
  <c r="W28"/>
  <c r="V20"/>
  <c r="W20"/>
  <c r="V12"/>
  <c r="W12"/>
  <c r="W93"/>
  <c r="V93"/>
  <c r="V8"/>
  <c r="W8"/>
  <c r="S102" i="10"/>
  <c r="S106"/>
  <c r="S110"/>
  <c r="S135"/>
  <c r="B135" s="1"/>
  <c r="J8" i="7"/>
  <c r="L7" i="11"/>
  <c r="M7"/>
  <c r="H7"/>
  <c r="H41"/>
  <c r="M41"/>
  <c r="M16"/>
  <c r="H16"/>
  <c r="K14" i="8"/>
  <c r="H14"/>
  <c r="H77"/>
  <c r="K77"/>
  <c r="H103"/>
  <c r="K103"/>
  <c r="K17"/>
  <c r="H17"/>
  <c r="K43"/>
  <c r="H43"/>
  <c r="H79"/>
  <c r="K79"/>
  <c r="L8" i="11"/>
  <c r="H8" s="1"/>
  <c r="M8"/>
  <c r="H23"/>
  <c r="L23"/>
  <c r="M23"/>
  <c r="M18"/>
  <c r="H18"/>
  <c r="L18"/>
  <c r="L32"/>
  <c r="M32"/>
  <c r="H32"/>
  <c r="T2" i="10"/>
  <c r="S2" s="1"/>
  <c r="N2"/>
  <c r="H52" i="8"/>
  <c r="K52"/>
  <c r="K19"/>
  <c r="H19"/>
  <c r="J89" i="7"/>
  <c r="J56"/>
  <c r="J1"/>
  <c r="H69" i="8"/>
  <c r="K69"/>
  <c r="H97"/>
  <c r="K97"/>
  <c r="H37"/>
  <c r="K37"/>
  <c r="K73"/>
  <c r="H73"/>
  <c r="K99"/>
  <c r="H99"/>
  <c r="K48"/>
  <c r="H48"/>
  <c r="K1" i="7"/>
  <c r="K89"/>
  <c r="K56"/>
  <c r="H12" i="8"/>
  <c r="K12"/>
  <c r="L56" i="7"/>
  <c r="L1"/>
  <c r="L89"/>
  <c r="AL9" i="8"/>
  <c r="Z9"/>
  <c r="K9"/>
  <c r="H88"/>
  <c r="K88"/>
  <c r="H44"/>
  <c r="K44"/>
  <c r="K13"/>
  <c r="H13"/>
  <c r="I56" i="7"/>
  <c r="I1"/>
  <c r="I89"/>
  <c r="V311" i="6"/>
  <c r="W311"/>
  <c r="V306"/>
  <c r="C306" s="1"/>
  <c r="W306"/>
  <c r="D306" s="1"/>
  <c r="V292"/>
  <c r="C292" s="1"/>
  <c r="W292"/>
  <c r="D292" s="1"/>
  <c r="R93" i="7"/>
  <c r="R59"/>
  <c r="R11"/>
  <c r="AE89"/>
  <c r="AE56"/>
  <c r="AE1"/>
  <c r="AD56"/>
  <c r="AD1"/>
  <c r="AD89"/>
  <c r="Y1"/>
  <c r="Y89"/>
  <c r="X1"/>
  <c r="X89"/>
  <c r="X56"/>
  <c r="W313" i="6"/>
  <c r="V313"/>
  <c r="V294"/>
  <c r="W294"/>
  <c r="W289"/>
  <c r="V289"/>
  <c r="V269"/>
  <c r="W269"/>
  <c r="V249"/>
  <c r="W249"/>
  <c r="V270"/>
  <c r="C270" s="1"/>
  <c r="W270"/>
  <c r="D270" s="1"/>
  <c r="V236"/>
  <c r="C236" s="1"/>
  <c r="W236"/>
  <c r="D236" s="1"/>
  <c r="V216"/>
  <c r="W216"/>
  <c r="V200"/>
  <c r="W200"/>
  <c r="V184"/>
  <c r="W184"/>
  <c r="W167"/>
  <c r="V167"/>
  <c r="W159"/>
  <c r="V159"/>
  <c r="W151"/>
  <c r="V151"/>
  <c r="W143"/>
  <c r="V143"/>
  <c r="V123"/>
  <c r="W123"/>
  <c r="V276"/>
  <c r="W276"/>
  <c r="V250"/>
  <c r="W250"/>
  <c r="V222"/>
  <c r="W222"/>
  <c r="V204"/>
  <c r="W204"/>
  <c r="W183"/>
  <c r="V183"/>
  <c r="C183" s="1"/>
  <c r="W127"/>
  <c r="V127"/>
  <c r="C127" s="1"/>
  <c r="V274"/>
  <c r="W274"/>
  <c r="V258"/>
  <c r="C258" s="1"/>
  <c r="W258"/>
  <c r="D258" s="1"/>
  <c r="V244"/>
  <c r="W244"/>
  <c r="V228"/>
  <c r="W228"/>
  <c r="V210"/>
  <c r="C210" s="1"/>
  <c r="W210"/>
  <c r="D210" s="1"/>
  <c r="V194"/>
  <c r="C194" s="1"/>
  <c r="W194"/>
  <c r="D194" s="1"/>
  <c r="W172"/>
  <c r="D172" s="1"/>
  <c r="V172"/>
  <c r="C172" s="1"/>
  <c r="W163"/>
  <c r="V163"/>
  <c r="W140"/>
  <c r="D140" s="1"/>
  <c r="V140"/>
  <c r="C140" s="1"/>
  <c r="V128"/>
  <c r="W128"/>
  <c r="V256"/>
  <c r="W256"/>
  <c r="V234"/>
  <c r="W234"/>
  <c r="V212"/>
  <c r="W212"/>
  <c r="W191"/>
  <c r="D191" s="1"/>
  <c r="V191"/>
  <c r="C191" s="1"/>
  <c r="V113"/>
  <c r="W113"/>
  <c r="V97"/>
  <c r="W97"/>
  <c r="V77"/>
  <c r="W77"/>
  <c r="V78"/>
  <c r="C78" s="1"/>
  <c r="W78"/>
  <c r="D78" s="1"/>
  <c r="V60"/>
  <c r="W60"/>
  <c r="V43"/>
  <c r="W43"/>
  <c r="V27"/>
  <c r="W27"/>
  <c r="V166"/>
  <c r="W166"/>
  <c r="D166" s="1"/>
  <c r="V110"/>
  <c r="C110" s="1"/>
  <c r="W110"/>
  <c r="D110" s="1"/>
  <c r="V94"/>
  <c r="C94" s="1"/>
  <c r="W94"/>
  <c r="D94" s="1"/>
  <c r="V69"/>
  <c r="C69" s="1"/>
  <c r="W69"/>
  <c r="D69" s="1"/>
  <c r="V54"/>
  <c r="W54"/>
  <c r="W15"/>
  <c r="D15" s="1"/>
  <c r="V15"/>
  <c r="C15" s="1"/>
  <c r="V73"/>
  <c r="C73" s="1"/>
  <c r="W73"/>
  <c r="D73" s="1"/>
  <c r="V57"/>
  <c r="W57"/>
  <c r="W34"/>
  <c r="V34"/>
  <c r="V19"/>
  <c r="W19"/>
  <c r="V154"/>
  <c r="W154"/>
  <c r="V112"/>
  <c r="C112" s="1"/>
  <c r="W112"/>
  <c r="D112" s="1"/>
  <c r="V104"/>
  <c r="W104"/>
  <c r="V96"/>
  <c r="W96"/>
  <c r="V88"/>
  <c r="W88"/>
  <c r="V74"/>
  <c r="W74"/>
  <c r="V58"/>
  <c r="W58"/>
  <c r="W40"/>
  <c r="D40" s="1"/>
  <c r="V40"/>
  <c r="C40" s="1"/>
  <c r="W24"/>
  <c r="V24"/>
  <c r="V402" i="5"/>
  <c r="W402"/>
  <c r="V394"/>
  <c r="W394"/>
  <c r="V386"/>
  <c r="W386"/>
  <c r="V378"/>
  <c r="W378"/>
  <c r="V370"/>
  <c r="W370"/>
  <c r="V360"/>
  <c r="W360"/>
  <c r="V352"/>
  <c r="W352"/>
  <c r="V344"/>
  <c r="W344"/>
  <c r="V336"/>
  <c r="W336"/>
  <c r="V328"/>
  <c r="W328"/>
  <c r="V320"/>
  <c r="W320"/>
  <c r="V312"/>
  <c r="W312"/>
  <c r="V304"/>
  <c r="W304"/>
  <c r="V454"/>
  <c r="W454"/>
  <c r="V431"/>
  <c r="W431"/>
  <c r="V415"/>
  <c r="W415"/>
  <c r="W396"/>
  <c r="V396"/>
  <c r="W380"/>
  <c r="V380"/>
  <c r="W364"/>
  <c r="V364"/>
  <c r="W346"/>
  <c r="V346"/>
  <c r="W330"/>
  <c r="V330"/>
  <c r="W314"/>
  <c r="V314"/>
  <c r="W298"/>
  <c r="V298"/>
  <c r="V283"/>
  <c r="W283"/>
  <c r="V267"/>
  <c r="W267"/>
  <c r="V250"/>
  <c r="W250"/>
  <c r="V234"/>
  <c r="W234"/>
  <c r="V212"/>
  <c r="W212"/>
  <c r="V204"/>
  <c r="W204"/>
  <c r="V196"/>
  <c r="W196"/>
  <c r="V188"/>
  <c r="W188"/>
  <c r="V180"/>
  <c r="W180"/>
  <c r="V172"/>
  <c r="W172"/>
  <c r="V101"/>
  <c r="W101"/>
  <c r="V455"/>
  <c r="W455"/>
  <c r="V405"/>
  <c r="W405"/>
  <c r="V389"/>
  <c r="W389"/>
  <c r="V373"/>
  <c r="W373"/>
  <c r="V355"/>
  <c r="W355"/>
  <c r="V339"/>
  <c r="W339"/>
  <c r="V323"/>
  <c r="W323"/>
  <c r="V307"/>
  <c r="W307"/>
  <c r="W288"/>
  <c r="V288"/>
  <c r="W272"/>
  <c r="V272"/>
  <c r="W256"/>
  <c r="V256"/>
  <c r="V239"/>
  <c r="W239"/>
  <c r="V223"/>
  <c r="W223"/>
  <c r="V161"/>
  <c r="W161"/>
  <c r="V153"/>
  <c r="W153"/>
  <c r="V145"/>
  <c r="W145"/>
  <c r="V137"/>
  <c r="W137"/>
  <c r="V129"/>
  <c r="W129"/>
  <c r="V121"/>
  <c r="W121"/>
  <c r="V113"/>
  <c r="W113"/>
  <c r="V102"/>
  <c r="W102"/>
  <c r="W452"/>
  <c r="V452"/>
  <c r="V433"/>
  <c r="W433"/>
  <c r="V417"/>
  <c r="W417"/>
  <c r="V285"/>
  <c r="W285"/>
  <c r="V269"/>
  <c r="W269"/>
  <c r="W252"/>
  <c r="V252"/>
  <c r="W236"/>
  <c r="V236"/>
  <c r="W220"/>
  <c r="V220"/>
  <c r="W210"/>
  <c r="V210"/>
  <c r="W202"/>
  <c r="V202"/>
  <c r="W194"/>
  <c r="V194"/>
  <c r="W186"/>
  <c r="V186"/>
  <c r="W178"/>
  <c r="V178"/>
  <c r="W170"/>
  <c r="V170"/>
  <c r="V90"/>
  <c r="W90"/>
  <c r="W14" i="6"/>
  <c r="D14" s="1"/>
  <c r="V14"/>
  <c r="C14" s="1"/>
  <c r="W28"/>
  <c r="V28"/>
  <c r="W130"/>
  <c r="V130"/>
  <c r="V217"/>
  <c r="W217"/>
  <c r="V145"/>
  <c r="C145" s="1"/>
  <c r="W145"/>
  <c r="D145" s="1"/>
  <c r="W114"/>
  <c r="V114"/>
  <c r="V193"/>
  <c r="C193" s="1"/>
  <c r="W193"/>
  <c r="D193" s="1"/>
  <c r="V241"/>
  <c r="C241" s="1"/>
  <c r="W241"/>
  <c r="D241" s="1"/>
  <c r="V457" i="5"/>
  <c r="W457"/>
  <c r="W438"/>
  <c r="V438"/>
  <c r="W422"/>
  <c r="V422"/>
  <c r="V403"/>
  <c r="W403"/>
  <c r="V387"/>
  <c r="W387"/>
  <c r="V371"/>
  <c r="W371"/>
  <c r="V349"/>
  <c r="W349"/>
  <c r="V333"/>
  <c r="W333"/>
  <c r="V317"/>
  <c r="W317"/>
  <c r="V301"/>
  <c r="W301"/>
  <c r="V238"/>
  <c r="W238"/>
  <c r="V222"/>
  <c r="W222"/>
  <c r="W160"/>
  <c r="V160"/>
  <c r="W152"/>
  <c r="V152"/>
  <c r="W144"/>
  <c r="V144"/>
  <c r="W136"/>
  <c r="V136"/>
  <c r="W128"/>
  <c r="V128"/>
  <c r="W120"/>
  <c r="V120"/>
  <c r="W112"/>
  <c r="V112"/>
  <c r="V85"/>
  <c r="W85"/>
  <c r="V77"/>
  <c r="W77"/>
  <c r="V73"/>
  <c r="W73"/>
  <c r="V65"/>
  <c r="W65"/>
  <c r="V55"/>
  <c r="W55"/>
  <c r="V47"/>
  <c r="W47"/>
  <c r="V39"/>
  <c r="W39"/>
  <c r="V31"/>
  <c r="W31"/>
  <c r="V23"/>
  <c r="W23"/>
  <c r="V15"/>
  <c r="W15"/>
  <c r="W83"/>
  <c r="V83"/>
  <c r="W75"/>
  <c r="V75"/>
  <c r="W67"/>
  <c r="V67"/>
  <c r="W53"/>
  <c r="D53" s="1"/>
  <c r="V53"/>
  <c r="C53" s="1"/>
  <c r="W45"/>
  <c r="D45" s="1"/>
  <c r="V45"/>
  <c r="C45" s="1"/>
  <c r="W37"/>
  <c r="D37" s="1"/>
  <c r="V37"/>
  <c r="C37" s="1"/>
  <c r="W29"/>
  <c r="D29" s="1"/>
  <c r="V29"/>
  <c r="C29" s="1"/>
  <c r="W21"/>
  <c r="D21" s="1"/>
  <c r="V21"/>
  <c r="C21" s="1"/>
  <c r="W13"/>
  <c r="D13" s="1"/>
  <c r="V13"/>
  <c r="C13" s="1"/>
  <c r="V87"/>
  <c r="W87"/>
  <c r="W63"/>
  <c r="V63"/>
  <c r="S86" i="10"/>
  <c r="S94"/>
  <c r="S68"/>
  <c r="S76"/>
  <c r="B76" s="1"/>
  <c r="S50"/>
  <c r="S54"/>
  <c r="S58"/>
  <c r="S124"/>
  <c r="S23"/>
  <c r="S35"/>
  <c r="S19"/>
  <c r="S15"/>
  <c r="S11"/>
  <c r="S81"/>
  <c r="S85"/>
  <c r="S89"/>
  <c r="S93"/>
  <c r="B93" s="1"/>
  <c r="S97"/>
  <c r="B97" s="1"/>
  <c r="S67"/>
  <c r="B67" s="1"/>
  <c r="S71"/>
  <c r="S75"/>
  <c r="B75" s="1"/>
  <c r="S41"/>
  <c r="S45"/>
  <c r="S49"/>
  <c r="S53"/>
  <c r="B53" s="1"/>
  <c r="S57"/>
  <c r="S115"/>
  <c r="S119"/>
  <c r="S123"/>
  <c r="B123" s="1"/>
  <c r="S22"/>
  <c r="S26"/>
  <c r="S101"/>
  <c r="B101" s="1"/>
  <c r="S105"/>
  <c r="B105" s="1"/>
  <c r="S109"/>
  <c r="B109" s="1"/>
  <c r="S33"/>
  <c r="N8" i="7"/>
  <c r="L28" i="11"/>
  <c r="H28" s="1"/>
  <c r="M28"/>
  <c r="L22"/>
  <c r="H22" s="1"/>
  <c r="M22"/>
  <c r="M17"/>
  <c r="L17"/>
  <c r="H17" s="1"/>
  <c r="K104" i="8"/>
  <c r="H104"/>
  <c r="H32"/>
  <c r="K32"/>
  <c r="M11" i="11"/>
  <c r="H11"/>
  <c r="H26"/>
  <c r="M26"/>
  <c r="AL59" i="8"/>
  <c r="Z59"/>
  <c r="K59"/>
  <c r="H21" i="11"/>
  <c r="M21"/>
  <c r="L33"/>
  <c r="M33"/>
  <c r="H33"/>
  <c r="L12"/>
  <c r="M12"/>
  <c r="H12"/>
  <c r="K72" i="8"/>
  <c r="H72"/>
  <c r="H24"/>
  <c r="K24"/>
  <c r="N89" i="7"/>
  <c r="N56"/>
  <c r="N1"/>
  <c r="H63" i="8"/>
  <c r="K63"/>
  <c r="H89"/>
  <c r="K89"/>
  <c r="H102"/>
  <c r="K102"/>
  <c r="H29"/>
  <c r="K29"/>
  <c r="H67"/>
  <c r="K67"/>
  <c r="K93"/>
  <c r="H93"/>
  <c r="H68"/>
  <c r="K68"/>
  <c r="K22"/>
  <c r="H22"/>
  <c r="O1" i="7"/>
  <c r="O89"/>
  <c r="O56"/>
  <c r="K64" i="8"/>
  <c r="H64"/>
  <c r="K28"/>
  <c r="H28"/>
  <c r="P56" i="7"/>
  <c r="P1"/>
  <c r="P89"/>
  <c r="K54" i="8"/>
  <c r="H54"/>
  <c r="H18"/>
  <c r="K18"/>
  <c r="M56" i="7"/>
  <c r="M1"/>
  <c r="M89"/>
  <c r="V312" i="6"/>
  <c r="C312" s="1"/>
  <c r="W312"/>
  <c r="D312" s="1"/>
  <c r="V299"/>
  <c r="W299"/>
  <c r="W286"/>
  <c r="V286"/>
  <c r="AA89" i="7"/>
  <c r="AA56"/>
  <c r="AA1"/>
  <c r="Z56"/>
  <c r="Z1"/>
  <c r="Z89"/>
  <c r="U1"/>
  <c r="U89"/>
  <c r="U56"/>
  <c r="AK1"/>
  <c r="AK89"/>
  <c r="AK56"/>
  <c r="AJ1"/>
  <c r="AJ89"/>
  <c r="AJ56"/>
  <c r="V314" i="6"/>
  <c r="C314" s="1"/>
  <c r="W314"/>
  <c r="D314" s="1"/>
  <c r="W301"/>
  <c r="V301"/>
  <c r="W285"/>
  <c r="V285"/>
  <c r="C285" s="1"/>
  <c r="V295"/>
  <c r="C295" s="1"/>
  <c r="W295"/>
  <c r="D295" s="1"/>
  <c r="V273"/>
  <c r="C273" s="1"/>
  <c r="W273"/>
  <c r="D273" s="1"/>
  <c r="V253"/>
  <c r="W253"/>
  <c r="W275"/>
  <c r="D275" s="1"/>
  <c r="V275"/>
  <c r="C275" s="1"/>
  <c r="V238"/>
  <c r="C238" s="1"/>
  <c r="W238"/>
  <c r="D238" s="1"/>
  <c r="V218"/>
  <c r="W218"/>
  <c r="V202"/>
  <c r="W202"/>
  <c r="V186"/>
  <c r="W186"/>
  <c r="V168"/>
  <c r="W168"/>
  <c r="V160"/>
  <c r="W160"/>
  <c r="V152"/>
  <c r="C152" s="1"/>
  <c r="W152"/>
  <c r="D152" s="1"/>
  <c r="V144"/>
  <c r="C144" s="1"/>
  <c r="W144"/>
  <c r="D144" s="1"/>
  <c r="V136"/>
  <c r="W136"/>
  <c r="V284"/>
  <c r="W284"/>
  <c r="D284" s="1"/>
  <c r="V254"/>
  <c r="C254" s="1"/>
  <c r="W254"/>
  <c r="D254" s="1"/>
  <c r="W235"/>
  <c r="D235" s="1"/>
  <c r="V235"/>
  <c r="C235" s="1"/>
  <c r="V206"/>
  <c r="C206" s="1"/>
  <c r="W206"/>
  <c r="D206" s="1"/>
  <c r="V188"/>
  <c r="W188"/>
  <c r="V177"/>
  <c r="C177" s="1"/>
  <c r="W177"/>
  <c r="D177" s="1"/>
  <c r="W279"/>
  <c r="D279" s="1"/>
  <c r="V279"/>
  <c r="C279" s="1"/>
  <c r="W263"/>
  <c r="V263"/>
  <c r="C263" s="1"/>
  <c r="V246"/>
  <c r="W246"/>
  <c r="V230"/>
  <c r="C230" s="1"/>
  <c r="W230"/>
  <c r="D230" s="1"/>
  <c r="V213"/>
  <c r="W213"/>
  <c r="V197"/>
  <c r="W197"/>
  <c r="V181"/>
  <c r="C181" s="1"/>
  <c r="W181"/>
  <c r="D181" s="1"/>
  <c r="W164"/>
  <c r="D164" s="1"/>
  <c r="V164"/>
  <c r="C164" s="1"/>
  <c r="W155"/>
  <c r="V155"/>
  <c r="V131"/>
  <c r="C131" s="1"/>
  <c r="W131"/>
  <c r="D131" s="1"/>
  <c r="V264"/>
  <c r="C264" s="1"/>
  <c r="W264"/>
  <c r="D264" s="1"/>
  <c r="W243"/>
  <c r="D243" s="1"/>
  <c r="V243"/>
  <c r="C243" s="1"/>
  <c r="V214"/>
  <c r="W214"/>
  <c r="V196"/>
  <c r="C196" s="1"/>
  <c r="W196"/>
  <c r="D196" s="1"/>
  <c r="W135"/>
  <c r="V135"/>
  <c r="C135" s="1"/>
  <c r="V101"/>
  <c r="W101"/>
  <c r="V85"/>
  <c r="W85"/>
  <c r="W134"/>
  <c r="D134" s="1"/>
  <c r="V134"/>
  <c r="C134" s="1"/>
  <c r="V62"/>
  <c r="W62"/>
  <c r="W46"/>
  <c r="D46" s="1"/>
  <c r="V46"/>
  <c r="C46" s="1"/>
  <c r="W30"/>
  <c r="D30" s="1"/>
  <c r="V30"/>
  <c r="C30" s="1"/>
  <c r="V8"/>
  <c r="W8"/>
  <c r="V142"/>
  <c r="C142" s="1"/>
  <c r="W142"/>
  <c r="D142" s="1"/>
  <c r="V98"/>
  <c r="W98"/>
  <c r="D98" s="1"/>
  <c r="W71"/>
  <c r="D71" s="1"/>
  <c r="V71"/>
  <c r="C71" s="1"/>
  <c r="W55"/>
  <c r="D55" s="1"/>
  <c r="V55"/>
  <c r="C55" s="1"/>
  <c r="V25"/>
  <c r="W25"/>
  <c r="W75"/>
  <c r="V75"/>
  <c r="W59"/>
  <c r="D59" s="1"/>
  <c r="V59"/>
  <c r="C59" s="1"/>
  <c r="V39"/>
  <c r="C39" s="1"/>
  <c r="W39"/>
  <c r="D39" s="1"/>
  <c r="V23"/>
  <c r="C23" s="1"/>
  <c r="W23"/>
  <c r="D23" s="1"/>
  <c r="V162"/>
  <c r="C162" s="1"/>
  <c r="W162"/>
  <c r="D162" s="1"/>
  <c r="V133"/>
  <c r="W133"/>
  <c r="D133" s="1"/>
  <c r="W107"/>
  <c r="V107"/>
  <c r="W99"/>
  <c r="V99"/>
  <c r="W91"/>
  <c r="V91"/>
  <c r="W83"/>
  <c r="V83"/>
  <c r="V61"/>
  <c r="C61" s="1"/>
  <c r="W61"/>
  <c r="D61" s="1"/>
  <c r="V45"/>
  <c r="W45"/>
  <c r="D45" s="1"/>
  <c r="V29"/>
  <c r="C29" s="1"/>
  <c r="W29"/>
  <c r="D29" s="1"/>
  <c r="V440" i="5"/>
  <c r="W440"/>
  <c r="V432"/>
  <c r="W432"/>
  <c r="V424"/>
  <c r="W424"/>
  <c r="V416"/>
  <c r="W416"/>
  <c r="V286"/>
  <c r="W286"/>
  <c r="V278"/>
  <c r="W278"/>
  <c r="V270"/>
  <c r="W270"/>
  <c r="V262"/>
  <c r="W262"/>
  <c r="V254"/>
  <c r="W254"/>
  <c r="V435"/>
  <c r="W435"/>
  <c r="V419"/>
  <c r="W419"/>
  <c r="W400"/>
  <c r="V400"/>
  <c r="W384"/>
  <c r="V384"/>
  <c r="W368"/>
  <c r="V368"/>
  <c r="W350"/>
  <c r="V350"/>
  <c r="W334"/>
  <c r="V334"/>
  <c r="W318"/>
  <c r="V318"/>
  <c r="W302"/>
  <c r="V302"/>
  <c r="V287"/>
  <c r="W287"/>
  <c r="V271"/>
  <c r="W271"/>
  <c r="V255"/>
  <c r="W255"/>
  <c r="V243"/>
  <c r="W243"/>
  <c r="V227"/>
  <c r="W227"/>
  <c r="V207"/>
  <c r="W207"/>
  <c r="V199"/>
  <c r="W199"/>
  <c r="V191"/>
  <c r="W191"/>
  <c r="V183"/>
  <c r="W183"/>
  <c r="V175"/>
  <c r="W175"/>
  <c r="W103"/>
  <c r="V103"/>
  <c r="V88"/>
  <c r="W88"/>
  <c r="V446"/>
  <c r="W446"/>
  <c r="V393"/>
  <c r="W393"/>
  <c r="V377"/>
  <c r="W377"/>
  <c r="V359"/>
  <c r="W359"/>
  <c r="V343"/>
  <c r="W343"/>
  <c r="V327"/>
  <c r="W327"/>
  <c r="V311"/>
  <c r="W311"/>
  <c r="W292"/>
  <c r="V292"/>
  <c r="W276"/>
  <c r="V276"/>
  <c r="W260"/>
  <c r="V260"/>
  <c r="W240"/>
  <c r="V240"/>
  <c r="W224"/>
  <c r="V224"/>
  <c r="V162"/>
  <c r="W162"/>
  <c r="V154"/>
  <c r="W154"/>
  <c r="V146"/>
  <c r="W146"/>
  <c r="V138"/>
  <c r="W138"/>
  <c r="V130"/>
  <c r="W130"/>
  <c r="V122"/>
  <c r="W122"/>
  <c r="V114"/>
  <c r="W114"/>
  <c r="V104"/>
  <c r="W104"/>
  <c r="W91"/>
  <c r="V91"/>
  <c r="W456"/>
  <c r="V456"/>
  <c r="V437"/>
  <c r="W437"/>
  <c r="V421"/>
  <c r="W421"/>
  <c r="V289"/>
  <c r="W289"/>
  <c r="V273"/>
  <c r="W273"/>
  <c r="V257"/>
  <c r="W257"/>
  <c r="V241"/>
  <c r="W241"/>
  <c r="V225"/>
  <c r="W225"/>
  <c r="V213"/>
  <c r="W213"/>
  <c r="V205"/>
  <c r="W205"/>
  <c r="V197"/>
  <c r="W197"/>
  <c r="V189"/>
  <c r="W189"/>
  <c r="V181"/>
  <c r="W181"/>
  <c r="V173"/>
  <c r="W173"/>
  <c r="V92"/>
  <c r="W92"/>
  <c r="V13" i="6"/>
  <c r="C13" s="1"/>
  <c r="W13"/>
  <c r="D13" s="1"/>
  <c r="W20"/>
  <c r="D20" s="1"/>
  <c r="V20"/>
  <c r="C20" s="1"/>
  <c r="V129"/>
  <c r="C129" s="1"/>
  <c r="W129"/>
  <c r="D129" s="1"/>
  <c r="V201"/>
  <c r="C201" s="1"/>
  <c r="W201"/>
  <c r="D201" s="1"/>
  <c r="V137"/>
  <c r="W137"/>
  <c r="D137" s="1"/>
  <c r="V169"/>
  <c r="W169"/>
  <c r="D169" s="1"/>
  <c r="W124"/>
  <c r="D124" s="1"/>
  <c r="V124"/>
  <c r="C124" s="1"/>
  <c r="V245"/>
  <c r="C245" s="1"/>
  <c r="W245"/>
  <c r="D245" s="1"/>
  <c r="V9"/>
  <c r="W9"/>
  <c r="W442" i="5"/>
  <c r="V442"/>
  <c r="W426"/>
  <c r="V426"/>
  <c r="V407"/>
  <c r="W407"/>
  <c r="V391"/>
  <c r="W391"/>
  <c r="V375"/>
  <c r="W375"/>
  <c r="V353"/>
  <c r="W353"/>
  <c r="V337"/>
  <c r="W337"/>
  <c r="V321"/>
  <c r="W321"/>
  <c r="V305"/>
  <c r="W305"/>
  <c r="V247"/>
  <c r="W247"/>
  <c r="V231"/>
  <c r="W231"/>
  <c r="V163"/>
  <c r="W163"/>
  <c r="V155"/>
  <c r="W155"/>
  <c r="V147"/>
  <c r="W147"/>
  <c r="V139"/>
  <c r="W139"/>
  <c r="V131"/>
  <c r="W131"/>
  <c r="V123"/>
  <c r="W123"/>
  <c r="V115"/>
  <c r="W115"/>
  <c r="V94"/>
  <c r="W94"/>
  <c r="V76"/>
  <c r="W76"/>
  <c r="V68"/>
  <c r="W68"/>
  <c r="V58"/>
  <c r="W58"/>
  <c r="V50"/>
  <c r="W50"/>
  <c r="V42"/>
  <c r="W42"/>
  <c r="V34"/>
  <c r="W34"/>
  <c r="V26"/>
  <c r="W26"/>
  <c r="V18"/>
  <c r="W18"/>
  <c r="V10"/>
  <c r="W10"/>
  <c r="V78"/>
  <c r="W78"/>
  <c r="V70"/>
  <c r="W70"/>
  <c r="V56"/>
  <c r="W56"/>
  <c r="V48"/>
  <c r="W48"/>
  <c r="V40"/>
  <c r="W40"/>
  <c r="V32"/>
  <c r="W32"/>
  <c r="V24"/>
  <c r="W24"/>
  <c r="V16"/>
  <c r="W16"/>
  <c r="V86"/>
  <c r="W86"/>
  <c r="V80"/>
  <c r="W80"/>
  <c r="B40" i="10"/>
  <c r="B10"/>
  <c r="S82"/>
  <c r="S90"/>
  <c r="S64"/>
  <c r="S72"/>
  <c r="S42"/>
  <c r="S46"/>
  <c r="S116"/>
  <c r="S120"/>
  <c r="S27"/>
  <c r="S39"/>
  <c r="B39" s="1"/>
  <c r="S20"/>
  <c r="S16"/>
  <c r="S12"/>
  <c r="S80"/>
  <c r="B80" s="1"/>
  <c r="S84"/>
  <c r="B84" s="1"/>
  <c r="S88"/>
  <c r="B88" s="1"/>
  <c r="S92"/>
  <c r="B92" s="1"/>
  <c r="S96"/>
  <c r="B96" s="1"/>
  <c r="S66"/>
  <c r="B66" s="1"/>
  <c r="S70"/>
  <c r="B70" s="1"/>
  <c r="S74"/>
  <c r="B74" s="1"/>
  <c r="S130"/>
  <c r="B130" s="1"/>
  <c r="S44"/>
  <c r="B44" s="1"/>
  <c r="S48"/>
  <c r="B48" s="1"/>
  <c r="S52"/>
  <c r="B52" s="1"/>
  <c r="S56"/>
  <c r="B56" s="1"/>
  <c r="S60"/>
  <c r="B60" s="1"/>
  <c r="S118"/>
  <c r="B118" s="1"/>
  <c r="S122"/>
  <c r="B122" s="1"/>
  <c r="S21"/>
  <c r="B21" s="1"/>
  <c r="S25"/>
  <c r="B25" s="1"/>
  <c r="S29"/>
  <c r="B29" s="1"/>
  <c r="S104"/>
  <c r="B104" s="1"/>
  <c r="S108"/>
  <c r="B108" s="1"/>
  <c r="S37"/>
  <c r="B8" i="7"/>
  <c r="S34" i="10"/>
  <c r="B34" s="1"/>
  <c r="K8" i="7"/>
  <c r="K47" i="8"/>
  <c r="H47"/>
  <c r="F89" i="7"/>
  <c r="F56"/>
  <c r="F1"/>
  <c r="G1"/>
  <c r="G89"/>
  <c r="G56"/>
  <c r="L27" i="11"/>
  <c r="H27" s="1"/>
  <c r="M27"/>
  <c r="H42"/>
  <c r="L42"/>
  <c r="M42"/>
  <c r="M37"/>
  <c r="H37"/>
  <c r="L37"/>
  <c r="M36"/>
  <c r="H36"/>
  <c r="L13"/>
  <c r="M13"/>
  <c r="H13"/>
  <c r="K84" i="8"/>
  <c r="H84"/>
  <c r="K42"/>
  <c r="H42"/>
  <c r="B89" i="7"/>
  <c r="B56"/>
  <c r="B1"/>
  <c r="K53" i="8"/>
  <c r="H53"/>
  <c r="H83"/>
  <c r="K83"/>
  <c r="H94"/>
  <c r="K94"/>
  <c r="H23"/>
  <c r="K23"/>
  <c r="H49"/>
  <c r="K49"/>
  <c r="K87"/>
  <c r="H87"/>
  <c r="H82"/>
  <c r="K82"/>
  <c r="H27"/>
  <c r="K27"/>
  <c r="C1" i="7"/>
  <c r="C89"/>
  <c r="C56"/>
  <c r="K78" i="8"/>
  <c r="H78"/>
  <c r="H33"/>
  <c r="K33"/>
  <c r="D56" i="7"/>
  <c r="D1"/>
  <c r="D89"/>
  <c r="H62" i="8"/>
  <c r="K62"/>
  <c r="K34"/>
  <c r="H34"/>
  <c r="Q56" i="7"/>
  <c r="Q1"/>
  <c r="Q89"/>
  <c r="V316" i="6"/>
  <c r="C316" s="1"/>
  <c r="W316"/>
  <c r="D316" s="1"/>
  <c r="V290"/>
  <c r="C290" s="1"/>
  <c r="W290"/>
  <c r="V300"/>
  <c r="C300" s="1"/>
  <c r="W300"/>
  <c r="D300" s="1"/>
  <c r="W287"/>
  <c r="D287" s="1"/>
  <c r="V287"/>
  <c r="C287" s="1"/>
  <c r="W89" i="7"/>
  <c r="W56"/>
  <c r="W1"/>
  <c r="V56"/>
  <c r="V1"/>
  <c r="V89"/>
  <c r="AH7"/>
  <c r="AH8" s="1"/>
  <c r="AD7"/>
  <c r="AD8" s="1"/>
  <c r="Z7"/>
  <c r="Z8" s="1"/>
  <c r="V7"/>
  <c r="V8" s="1"/>
  <c r="AI7"/>
  <c r="AI8" s="1"/>
  <c r="AE7"/>
  <c r="AE8" s="1"/>
  <c r="AA7"/>
  <c r="AA8" s="1"/>
  <c r="W7"/>
  <c r="W8" s="1"/>
  <c r="AJ7"/>
  <c r="AJ8" s="1"/>
  <c r="AF7"/>
  <c r="AF8" s="1"/>
  <c r="AB7"/>
  <c r="AB8" s="1"/>
  <c r="X7"/>
  <c r="X8" s="1"/>
  <c r="AK7"/>
  <c r="AK8" s="1"/>
  <c r="AG7"/>
  <c r="AG8" s="1"/>
  <c r="AC7"/>
  <c r="AC8" s="1"/>
  <c r="Y7"/>
  <c r="U7"/>
  <c r="U8" s="1"/>
  <c r="AG1"/>
  <c r="AG89"/>
  <c r="AG56"/>
  <c r="AF1"/>
  <c r="AF89"/>
  <c r="AF56"/>
  <c r="V302" i="6"/>
  <c r="W302"/>
  <c r="W291"/>
  <c r="D291" s="1"/>
  <c r="V291"/>
  <c r="C291" s="1"/>
  <c r="V303"/>
  <c r="C303" s="1"/>
  <c r="W303"/>
  <c r="D303" s="1"/>
  <c r="V277"/>
  <c r="W277"/>
  <c r="V257"/>
  <c r="C257" s="1"/>
  <c r="W257"/>
  <c r="D257" s="1"/>
  <c r="V278"/>
  <c r="C278" s="1"/>
  <c r="W278"/>
  <c r="D278" s="1"/>
  <c r="W247"/>
  <c r="D247" s="1"/>
  <c r="V247"/>
  <c r="V221"/>
  <c r="C221" s="1"/>
  <c r="W221"/>
  <c r="D221" s="1"/>
  <c r="V205"/>
  <c r="C205" s="1"/>
  <c r="W205"/>
  <c r="D205" s="1"/>
  <c r="V189"/>
  <c r="C189" s="1"/>
  <c r="W189"/>
  <c r="V115"/>
  <c r="C115" s="1"/>
  <c r="W115"/>
  <c r="D115" s="1"/>
  <c r="V262"/>
  <c r="C262" s="1"/>
  <c r="W262"/>
  <c r="D262" s="1"/>
  <c r="V240"/>
  <c r="C240" s="1"/>
  <c r="W240"/>
  <c r="D240" s="1"/>
  <c r="W215"/>
  <c r="D215" s="1"/>
  <c r="V215"/>
  <c r="C215" s="1"/>
  <c r="V190"/>
  <c r="C190" s="1"/>
  <c r="W190"/>
  <c r="D190" s="1"/>
  <c r="W179"/>
  <c r="D179" s="1"/>
  <c r="V179"/>
  <c r="C179" s="1"/>
  <c r="V282"/>
  <c r="C282" s="1"/>
  <c r="W282"/>
  <c r="D282" s="1"/>
  <c r="V266"/>
  <c r="C266" s="1"/>
  <c r="W266"/>
  <c r="D266" s="1"/>
  <c r="W251"/>
  <c r="D251" s="1"/>
  <c r="V251"/>
  <c r="C251" s="1"/>
  <c r="V233"/>
  <c r="C233" s="1"/>
  <c r="W233"/>
  <c r="D233" s="1"/>
  <c r="W219"/>
  <c r="D219" s="1"/>
  <c r="V219"/>
  <c r="C219" s="1"/>
  <c r="W203"/>
  <c r="D203" s="1"/>
  <c r="V203"/>
  <c r="C203" s="1"/>
  <c r="W187"/>
  <c r="D187" s="1"/>
  <c r="V187"/>
  <c r="C187" s="1"/>
  <c r="W156"/>
  <c r="D156" s="1"/>
  <c r="V156"/>
  <c r="C156" s="1"/>
  <c r="W147"/>
  <c r="D147" s="1"/>
  <c r="V147"/>
  <c r="C147" s="1"/>
  <c r="V272"/>
  <c r="C272" s="1"/>
  <c r="W272"/>
  <c r="D272" s="1"/>
  <c r="V248"/>
  <c r="C248" s="1"/>
  <c r="W248"/>
  <c r="D248" s="1"/>
  <c r="W223"/>
  <c r="D223" s="1"/>
  <c r="V223"/>
  <c r="C223" s="1"/>
  <c r="V198"/>
  <c r="C198" s="1"/>
  <c r="W198"/>
  <c r="D198" s="1"/>
  <c r="V105"/>
  <c r="C105" s="1"/>
  <c r="W105"/>
  <c r="D105" s="1"/>
  <c r="V89"/>
  <c r="C89" s="1"/>
  <c r="W89"/>
  <c r="D89" s="1"/>
  <c r="V170"/>
  <c r="C170" s="1"/>
  <c r="W170"/>
  <c r="D170" s="1"/>
  <c r="V65"/>
  <c r="C65" s="1"/>
  <c r="W65"/>
  <c r="D65" s="1"/>
  <c r="V50"/>
  <c r="C50" s="1"/>
  <c r="W50"/>
  <c r="D50" s="1"/>
  <c r="V35"/>
  <c r="C35" s="1"/>
  <c r="W35"/>
  <c r="D35" s="1"/>
  <c r="V11"/>
  <c r="C11" s="1"/>
  <c r="W11"/>
  <c r="D11" s="1"/>
  <c r="V150"/>
  <c r="C150" s="1"/>
  <c r="W150"/>
  <c r="D150" s="1"/>
  <c r="V102"/>
  <c r="C102" s="1"/>
  <c r="W102"/>
  <c r="D102" s="1"/>
  <c r="V86"/>
  <c r="C86" s="1"/>
  <c r="W86"/>
  <c r="D86" s="1"/>
  <c r="V64"/>
  <c r="C64" s="1"/>
  <c r="W64"/>
  <c r="V33"/>
  <c r="C33" s="1"/>
  <c r="W33"/>
  <c r="D33" s="1"/>
  <c r="V76"/>
  <c r="C76" s="1"/>
  <c r="W76"/>
  <c r="D76" s="1"/>
  <c r="V68"/>
  <c r="C68" s="1"/>
  <c r="W68"/>
  <c r="D68" s="1"/>
  <c r="W42"/>
  <c r="D42" s="1"/>
  <c r="V42"/>
  <c r="C42" s="1"/>
  <c r="W26"/>
  <c r="D26" s="1"/>
  <c r="V26"/>
  <c r="C26" s="1"/>
  <c r="V138"/>
  <c r="C138" s="1"/>
  <c r="W138"/>
  <c r="D138" s="1"/>
  <c r="V108"/>
  <c r="C108" s="1"/>
  <c r="W108"/>
  <c r="D108" s="1"/>
  <c r="V100"/>
  <c r="C100" s="1"/>
  <c r="W100"/>
  <c r="D100" s="1"/>
  <c r="V92"/>
  <c r="C92" s="1"/>
  <c r="W92"/>
  <c r="D92" s="1"/>
  <c r="V84"/>
  <c r="C84" s="1"/>
  <c r="W84"/>
  <c r="D84" s="1"/>
  <c r="W63"/>
  <c r="D63" s="1"/>
  <c r="V63"/>
  <c r="W53"/>
  <c r="D53" s="1"/>
  <c r="V53"/>
  <c r="C53" s="1"/>
  <c r="W32"/>
  <c r="D32" s="1"/>
  <c r="V32"/>
  <c r="W18"/>
  <c r="D18" s="1"/>
  <c r="V18"/>
  <c r="C18" s="1"/>
  <c r="V406" i="5"/>
  <c r="W406"/>
  <c r="V398"/>
  <c r="W398"/>
  <c r="V390"/>
  <c r="W390"/>
  <c r="V382"/>
  <c r="W382"/>
  <c r="V374"/>
  <c r="W374"/>
  <c r="V366"/>
  <c r="W366"/>
  <c r="V356"/>
  <c r="W356"/>
  <c r="V348"/>
  <c r="W348"/>
  <c r="V340"/>
  <c r="W340"/>
  <c r="V332"/>
  <c r="W332"/>
  <c r="V324"/>
  <c r="W324"/>
  <c r="V316"/>
  <c r="W316"/>
  <c r="V308"/>
  <c r="W308"/>
  <c r="V300"/>
  <c r="W300"/>
  <c r="V439"/>
  <c r="W439"/>
  <c r="V423"/>
  <c r="W423"/>
  <c r="W404"/>
  <c r="V404"/>
  <c r="W388"/>
  <c r="V388"/>
  <c r="W372"/>
  <c r="V372"/>
  <c r="W354"/>
  <c r="V354"/>
  <c r="W338"/>
  <c r="V338"/>
  <c r="W322"/>
  <c r="V322"/>
  <c r="W306"/>
  <c r="V306"/>
  <c r="V291"/>
  <c r="W291"/>
  <c r="V275"/>
  <c r="W275"/>
  <c r="V259"/>
  <c r="W259"/>
  <c r="W244"/>
  <c r="V244"/>
  <c r="W228"/>
  <c r="V228"/>
  <c r="V208"/>
  <c r="W208"/>
  <c r="V200"/>
  <c r="W200"/>
  <c r="V192"/>
  <c r="W192"/>
  <c r="V184"/>
  <c r="W184"/>
  <c r="V176"/>
  <c r="W176"/>
  <c r="W108"/>
  <c r="V108"/>
  <c r="V96"/>
  <c r="W96"/>
  <c r="V447"/>
  <c r="W447"/>
  <c r="V397"/>
  <c r="W397"/>
  <c r="V381"/>
  <c r="W381"/>
  <c r="V365"/>
  <c r="W365"/>
  <c r="V347"/>
  <c r="W347"/>
  <c r="V331"/>
  <c r="W331"/>
  <c r="V315"/>
  <c r="W315"/>
  <c r="V299"/>
  <c r="W299"/>
  <c r="W280"/>
  <c r="V280"/>
  <c r="W264"/>
  <c r="V264"/>
  <c r="V245"/>
  <c r="W245"/>
  <c r="V229"/>
  <c r="W229"/>
  <c r="V165"/>
  <c r="W165"/>
  <c r="V157"/>
  <c r="W157"/>
  <c r="V149"/>
  <c r="W149"/>
  <c r="V141"/>
  <c r="W141"/>
  <c r="V133"/>
  <c r="W133"/>
  <c r="V125"/>
  <c r="W125"/>
  <c r="V117"/>
  <c r="W117"/>
  <c r="V109"/>
  <c r="W109"/>
  <c r="V98"/>
  <c r="W98"/>
  <c r="X2"/>
  <c r="P2"/>
  <c r="V441"/>
  <c r="W441"/>
  <c r="V425"/>
  <c r="W425"/>
  <c r="V293"/>
  <c r="W293"/>
  <c r="V277"/>
  <c r="W277"/>
  <c r="V261"/>
  <c r="W261"/>
  <c r="V242"/>
  <c r="W242"/>
  <c r="V226"/>
  <c r="W226"/>
  <c r="W214"/>
  <c r="V214"/>
  <c r="W206"/>
  <c r="V206"/>
  <c r="W198"/>
  <c r="V198"/>
  <c r="W190"/>
  <c r="V190"/>
  <c r="W182"/>
  <c r="V182"/>
  <c r="W174"/>
  <c r="V174"/>
  <c r="V100"/>
  <c r="W100"/>
  <c r="V17" i="6"/>
  <c r="C17" s="1"/>
  <c r="W17"/>
  <c r="W10"/>
  <c r="D10" s="1"/>
  <c r="V10"/>
  <c r="C10" s="1"/>
  <c r="W44"/>
  <c r="D44" s="1"/>
  <c r="V44"/>
  <c r="C44" s="1"/>
  <c r="V185"/>
  <c r="C185" s="1"/>
  <c r="W185"/>
  <c r="D185" s="1"/>
  <c r="W126"/>
  <c r="D126" s="1"/>
  <c r="V126"/>
  <c r="C126" s="1"/>
  <c r="V161"/>
  <c r="C161" s="1"/>
  <c r="W161"/>
  <c r="D161" s="1"/>
  <c r="V121"/>
  <c r="C121" s="1"/>
  <c r="W121"/>
  <c r="D121" s="1"/>
  <c r="V229"/>
  <c r="C229" s="1"/>
  <c r="W229"/>
  <c r="D229" s="1"/>
  <c r="V449" i="5"/>
  <c r="W449"/>
  <c r="W430"/>
  <c r="V430"/>
  <c r="W414"/>
  <c r="V414"/>
  <c r="V395"/>
  <c r="W395"/>
  <c r="V379"/>
  <c r="W379"/>
  <c r="V357"/>
  <c r="W357"/>
  <c r="V341"/>
  <c r="W341"/>
  <c r="V325"/>
  <c r="W325"/>
  <c r="V309"/>
  <c r="W309"/>
  <c r="W248"/>
  <c r="V248"/>
  <c r="W232"/>
  <c r="V232"/>
  <c r="W164"/>
  <c r="V164"/>
  <c r="W156"/>
  <c r="V156"/>
  <c r="W148"/>
  <c r="V148"/>
  <c r="W140"/>
  <c r="V140"/>
  <c r="W132"/>
  <c r="V132"/>
  <c r="W124"/>
  <c r="V124"/>
  <c r="W116"/>
  <c r="V116"/>
  <c r="W95"/>
  <c r="V95"/>
  <c r="V81"/>
  <c r="W81"/>
  <c r="V69"/>
  <c r="W69"/>
  <c r="V59"/>
  <c r="C59" s="1"/>
  <c r="W59"/>
  <c r="D59" s="1"/>
  <c r="V51"/>
  <c r="C51" s="1"/>
  <c r="W51"/>
  <c r="D51" s="1"/>
  <c r="V43"/>
  <c r="C43" s="1"/>
  <c r="W43"/>
  <c r="D43" s="1"/>
  <c r="V35"/>
  <c r="C35" s="1"/>
  <c r="W35"/>
  <c r="D35" s="1"/>
  <c r="V27"/>
  <c r="C27" s="1"/>
  <c r="W27"/>
  <c r="D27" s="1"/>
  <c r="V19"/>
  <c r="C19" s="1"/>
  <c r="W19"/>
  <c r="D19" s="1"/>
  <c r="V11"/>
  <c r="C11" s="1"/>
  <c r="W11"/>
  <c r="D11" s="1"/>
  <c r="W79"/>
  <c r="V79"/>
  <c r="W71"/>
  <c r="V71"/>
  <c r="W57"/>
  <c r="D57" s="1"/>
  <c r="V57"/>
  <c r="C57" s="1"/>
  <c r="W49"/>
  <c r="D49" s="1"/>
  <c r="V49"/>
  <c r="C49" s="1"/>
  <c r="W41"/>
  <c r="D41" s="1"/>
  <c r="V41"/>
  <c r="C41" s="1"/>
  <c r="W33"/>
  <c r="D33" s="1"/>
  <c r="V33"/>
  <c r="C33" s="1"/>
  <c r="W25"/>
  <c r="D25" s="1"/>
  <c r="V25"/>
  <c r="C25" s="1"/>
  <c r="W17"/>
  <c r="D17" s="1"/>
  <c r="V17"/>
  <c r="C17" s="1"/>
  <c r="W9"/>
  <c r="D9" s="1"/>
  <c r="V9"/>
  <c r="C9" s="1"/>
  <c r="V84"/>
  <c r="W84"/>
  <c r="B18" i="10"/>
  <c r="S36"/>
  <c r="B36" s="1"/>
  <c r="S17"/>
  <c r="B17" s="1"/>
  <c r="S13"/>
  <c r="B13" s="1"/>
  <c r="S83"/>
  <c r="B83" s="1"/>
  <c r="S87"/>
  <c r="B87" s="1"/>
  <c r="S91"/>
  <c r="B91" s="1"/>
  <c r="S95"/>
  <c r="B95" s="1"/>
  <c r="S65"/>
  <c r="B65" s="1"/>
  <c r="S69"/>
  <c r="B69" s="1"/>
  <c r="S73"/>
  <c r="B73" s="1"/>
  <c r="S129"/>
  <c r="B129" s="1"/>
  <c r="S43"/>
  <c r="B43" s="1"/>
  <c r="S47"/>
  <c r="B47" s="1"/>
  <c r="S51"/>
  <c r="B51" s="1"/>
  <c r="S55"/>
  <c r="B55" s="1"/>
  <c r="S59"/>
  <c r="B59" s="1"/>
  <c r="S117"/>
  <c r="B117" s="1"/>
  <c r="S121"/>
  <c r="B121" s="1"/>
  <c r="S125"/>
  <c r="B125" s="1"/>
  <c r="S24"/>
  <c r="B24" s="1"/>
  <c r="S28"/>
  <c r="B28" s="1"/>
  <c r="S103"/>
  <c r="B103" s="1"/>
  <c r="S107"/>
  <c r="B107" s="1"/>
  <c r="S111"/>
  <c r="B111" s="1"/>
  <c r="S134"/>
  <c r="B134" s="1"/>
  <c r="F8" i="7"/>
  <c r="S38" i="10"/>
  <c r="B38" s="1"/>
  <c r="O8" i="7"/>
  <c r="C8"/>
  <c r="AF57" l="1"/>
  <c r="AF93"/>
  <c r="AF59"/>
  <c r="AF11"/>
  <c r="AG102"/>
  <c r="AG100"/>
  <c r="AG98"/>
  <c r="AG103"/>
  <c r="AG92"/>
  <c r="AG101"/>
  <c r="AG99"/>
  <c r="W103"/>
  <c r="W101"/>
  <c r="W99"/>
  <c r="W102"/>
  <c r="W100"/>
  <c r="W98"/>
  <c r="W92"/>
  <c r="D100"/>
  <c r="D103"/>
  <c r="D98"/>
  <c r="D101"/>
  <c r="D92"/>
  <c r="D102"/>
  <c r="D99"/>
  <c r="C102"/>
  <c r="C100"/>
  <c r="C103"/>
  <c r="C98"/>
  <c r="C101"/>
  <c r="C92"/>
  <c r="C99"/>
  <c r="B101"/>
  <c r="B92"/>
  <c r="B99"/>
  <c r="B102"/>
  <c r="B103"/>
  <c r="B100"/>
  <c r="B98"/>
  <c r="G102"/>
  <c r="G100"/>
  <c r="G101"/>
  <c r="G98"/>
  <c r="G92"/>
  <c r="G99"/>
  <c r="G103"/>
  <c r="F92"/>
  <c r="F102"/>
  <c r="F99"/>
  <c r="F103"/>
  <c r="F100"/>
  <c r="F101"/>
  <c r="F98"/>
  <c r="AK11"/>
  <c r="AK57"/>
  <c r="AK93"/>
  <c r="AK59"/>
  <c r="U102"/>
  <c r="U100"/>
  <c r="U103"/>
  <c r="U98"/>
  <c r="U101"/>
  <c r="U92"/>
  <c r="U99"/>
  <c r="Z93"/>
  <c r="Z59"/>
  <c r="Z11"/>
  <c r="Z57"/>
  <c r="M93"/>
  <c r="M59"/>
  <c r="M11"/>
  <c r="M57"/>
  <c r="O11"/>
  <c r="O57"/>
  <c r="O93"/>
  <c r="O59"/>
  <c r="N57"/>
  <c r="N93"/>
  <c r="N59"/>
  <c r="N11"/>
  <c r="Y102"/>
  <c r="Y100"/>
  <c r="Y101"/>
  <c r="Y98"/>
  <c r="Y99"/>
  <c r="Y92"/>
  <c r="Y105" s="1"/>
  <c r="Y103"/>
  <c r="AD93"/>
  <c r="AD59"/>
  <c r="AD11"/>
  <c r="AD57"/>
  <c r="I93"/>
  <c r="I59"/>
  <c r="I11"/>
  <c r="I57"/>
  <c r="L93"/>
  <c r="L59"/>
  <c r="L11"/>
  <c r="L57"/>
  <c r="K102"/>
  <c r="K100"/>
  <c r="K98"/>
  <c r="K92"/>
  <c r="K103"/>
  <c r="K99"/>
  <c r="K101"/>
  <c r="J102"/>
  <c r="J92"/>
  <c r="J103"/>
  <c r="J100"/>
  <c r="J99"/>
  <c r="J101"/>
  <c r="J98"/>
  <c r="AB102"/>
  <c r="AB92"/>
  <c r="AB103"/>
  <c r="AB100"/>
  <c r="AB101"/>
  <c r="AB99"/>
  <c r="AB98"/>
  <c r="R94"/>
  <c r="R105"/>
  <c r="E103"/>
  <c r="E101"/>
  <c r="E102"/>
  <c r="E99"/>
  <c r="E100"/>
  <c r="E98"/>
  <c r="E92"/>
  <c r="H93"/>
  <c r="H59"/>
  <c r="H11"/>
  <c r="H57"/>
  <c r="D17" i="6"/>
  <c r="D64"/>
  <c r="D189"/>
  <c r="D277"/>
  <c r="B12" i="10"/>
  <c r="B27"/>
  <c r="B42"/>
  <c r="B82"/>
  <c r="C16" i="5"/>
  <c r="C32"/>
  <c r="C48"/>
  <c r="C10"/>
  <c r="C26"/>
  <c r="C42"/>
  <c r="C58"/>
  <c r="C9" i="6"/>
  <c r="C137"/>
  <c r="C45"/>
  <c r="D83"/>
  <c r="D99"/>
  <c r="C133"/>
  <c r="C25"/>
  <c r="C62"/>
  <c r="C85"/>
  <c r="D135"/>
  <c r="C214"/>
  <c r="D155"/>
  <c r="C213"/>
  <c r="C246"/>
  <c r="C188"/>
  <c r="C284"/>
  <c r="C160"/>
  <c r="C186"/>
  <c r="C218"/>
  <c r="D285"/>
  <c r="C286"/>
  <c r="B22" i="10"/>
  <c r="B57"/>
  <c r="B41"/>
  <c r="B81"/>
  <c r="B35"/>
  <c r="B54"/>
  <c r="B94"/>
  <c r="C23" i="5"/>
  <c r="C39"/>
  <c r="C55"/>
  <c r="D114" i="6"/>
  <c r="C217"/>
  <c r="D28"/>
  <c r="D24"/>
  <c r="C58"/>
  <c r="C88"/>
  <c r="C104"/>
  <c r="C154"/>
  <c r="D34"/>
  <c r="C54"/>
  <c r="C166"/>
  <c r="C43"/>
  <c r="C97"/>
  <c r="C234"/>
  <c r="C128"/>
  <c r="D163"/>
  <c r="C228"/>
  <c r="D127"/>
  <c r="C204"/>
  <c r="C250"/>
  <c r="C123"/>
  <c r="D151"/>
  <c r="D167"/>
  <c r="C200"/>
  <c r="C249"/>
  <c r="D289"/>
  <c r="D313"/>
  <c r="D311"/>
  <c r="B110" i="10"/>
  <c r="C8" i="5"/>
  <c r="C12"/>
  <c r="C28"/>
  <c r="C44"/>
  <c r="C22"/>
  <c r="C38"/>
  <c r="C54"/>
  <c r="C209" i="6"/>
  <c r="C153"/>
  <c r="C132"/>
  <c r="C16"/>
  <c r="C72"/>
  <c r="D95"/>
  <c r="D111"/>
  <c r="C31"/>
  <c r="C70"/>
  <c r="D12"/>
  <c r="C106"/>
  <c r="D22"/>
  <c r="D51"/>
  <c r="C178"/>
  <c r="C109"/>
  <c r="C252"/>
  <c r="C125"/>
  <c r="C192"/>
  <c r="D255"/>
  <c r="D122"/>
  <c r="D199"/>
  <c r="C242"/>
  <c r="C120"/>
  <c r="C149"/>
  <c r="C165"/>
  <c r="D195"/>
  <c r="D231"/>
  <c r="D283"/>
  <c r="C281"/>
  <c r="D293"/>
  <c r="C305"/>
  <c r="W2" i="5"/>
  <c r="V2"/>
  <c r="AG11" i="7"/>
  <c r="AG57"/>
  <c r="AG93"/>
  <c r="AG59"/>
  <c r="V100"/>
  <c r="V103"/>
  <c r="V98"/>
  <c r="V101"/>
  <c r="V92"/>
  <c r="V102"/>
  <c r="V99"/>
  <c r="W93"/>
  <c r="W59"/>
  <c r="W11"/>
  <c r="W57"/>
  <c r="Q93"/>
  <c r="Q59"/>
  <c r="Q11"/>
  <c r="Q57"/>
  <c r="C11"/>
  <c r="C57"/>
  <c r="C93"/>
  <c r="C59"/>
  <c r="B57"/>
  <c r="B93"/>
  <c r="B59"/>
  <c r="B11"/>
  <c r="R12" s="1"/>
  <c r="R13" s="1"/>
  <c r="G11"/>
  <c r="G57"/>
  <c r="G93"/>
  <c r="G59"/>
  <c r="F57"/>
  <c r="F93"/>
  <c r="F59"/>
  <c r="F11"/>
  <c r="U11"/>
  <c r="U57"/>
  <c r="U93"/>
  <c r="U59"/>
  <c r="AA103"/>
  <c r="AA101"/>
  <c r="AA99"/>
  <c r="AA100"/>
  <c r="AA98"/>
  <c r="AA102"/>
  <c r="AA92"/>
  <c r="P93"/>
  <c r="P59"/>
  <c r="P11"/>
  <c r="P57"/>
  <c r="AE103"/>
  <c r="AE101"/>
  <c r="AE99"/>
  <c r="AE102"/>
  <c r="AE98"/>
  <c r="AE100"/>
  <c r="AE92"/>
  <c r="K11"/>
  <c r="K57"/>
  <c r="K93"/>
  <c r="K59"/>
  <c r="J57"/>
  <c r="J93"/>
  <c r="J59"/>
  <c r="J11"/>
  <c r="AB57"/>
  <c r="AB93"/>
  <c r="AB59"/>
  <c r="AB11"/>
  <c r="AC102"/>
  <c r="AC100"/>
  <c r="AC99"/>
  <c r="AC98"/>
  <c r="AC92"/>
  <c r="AC103"/>
  <c r="AC101"/>
  <c r="AH93"/>
  <c r="AH59"/>
  <c r="AH11"/>
  <c r="AH57"/>
  <c r="C302" i="6"/>
  <c r="B46" i="10"/>
  <c r="B90"/>
  <c r="D16" i="5"/>
  <c r="D32"/>
  <c r="D48"/>
  <c r="D10"/>
  <c r="D26"/>
  <c r="D42"/>
  <c r="D58"/>
  <c r="D9" i="6"/>
  <c r="C83"/>
  <c r="C99"/>
  <c r="D25"/>
  <c r="D62"/>
  <c r="D85"/>
  <c r="D214"/>
  <c r="C155"/>
  <c r="D213"/>
  <c r="D246"/>
  <c r="D188"/>
  <c r="D160"/>
  <c r="D186"/>
  <c r="D218"/>
  <c r="C299"/>
  <c r="B33" i="10"/>
  <c r="B26"/>
  <c r="B115"/>
  <c r="B45"/>
  <c r="B85"/>
  <c r="B19"/>
  <c r="B58"/>
  <c r="B68"/>
  <c r="D23" i="5"/>
  <c r="D39"/>
  <c r="D55"/>
  <c r="C114" i="6"/>
  <c r="D217"/>
  <c r="C28"/>
  <c r="C24"/>
  <c r="D58"/>
  <c r="D88"/>
  <c r="D104"/>
  <c r="D154"/>
  <c r="C34"/>
  <c r="D54"/>
  <c r="D43"/>
  <c r="D97"/>
  <c r="D234"/>
  <c r="D128"/>
  <c r="C163"/>
  <c r="D228"/>
  <c r="D204"/>
  <c r="D250"/>
  <c r="D123"/>
  <c r="C151"/>
  <c r="C167"/>
  <c r="D200"/>
  <c r="D249"/>
  <c r="C289"/>
  <c r="C313"/>
  <c r="R57" i="7"/>
  <c r="D8" i="5"/>
  <c r="D12"/>
  <c r="D28"/>
  <c r="D44"/>
  <c r="D22"/>
  <c r="D38"/>
  <c r="D54"/>
  <c r="D209" i="6"/>
  <c r="D153"/>
  <c r="D132"/>
  <c r="D16"/>
  <c r="D72"/>
  <c r="C95"/>
  <c r="C111"/>
  <c r="D31"/>
  <c r="D70"/>
  <c r="C12"/>
  <c r="D106"/>
  <c r="C22"/>
  <c r="C51"/>
  <c r="D178"/>
  <c r="D109"/>
  <c r="D252"/>
  <c r="D125"/>
  <c r="D192"/>
  <c r="C255"/>
  <c r="C122"/>
  <c r="C199"/>
  <c r="D242"/>
  <c r="D120"/>
  <c r="D149"/>
  <c r="D165"/>
  <c r="C195"/>
  <c r="C231"/>
  <c r="C283"/>
  <c r="D281"/>
  <c r="C293"/>
  <c r="C288"/>
  <c r="D93" i="7"/>
  <c r="D59"/>
  <c r="D11"/>
  <c r="D57"/>
  <c r="AJ101"/>
  <c r="AJ92"/>
  <c r="AJ99"/>
  <c r="AJ102"/>
  <c r="AJ103"/>
  <c r="AJ100"/>
  <c r="AJ98"/>
  <c r="Z103"/>
  <c r="Z101"/>
  <c r="Z98"/>
  <c r="Z102"/>
  <c r="Z99"/>
  <c r="Z92"/>
  <c r="Z100"/>
  <c r="AA93"/>
  <c r="AA59"/>
  <c r="AA11"/>
  <c r="AA57"/>
  <c r="M103"/>
  <c r="M101"/>
  <c r="M99"/>
  <c r="M102"/>
  <c r="M98"/>
  <c r="M100"/>
  <c r="M92"/>
  <c r="X99"/>
  <c r="X92"/>
  <c r="X102"/>
  <c r="X103"/>
  <c r="X100"/>
  <c r="X101"/>
  <c r="X98"/>
  <c r="AD101"/>
  <c r="AD102"/>
  <c r="AD99"/>
  <c r="AD98"/>
  <c r="AD100"/>
  <c r="AD92"/>
  <c r="AD103"/>
  <c r="AE93"/>
  <c r="AE59"/>
  <c r="AE11"/>
  <c r="AE57"/>
  <c r="I103"/>
  <c r="I101"/>
  <c r="I100"/>
  <c r="I99"/>
  <c r="I98"/>
  <c r="I102"/>
  <c r="I92"/>
  <c r="L101"/>
  <c r="L102"/>
  <c r="L98"/>
  <c r="L100"/>
  <c r="L92"/>
  <c r="L103"/>
  <c r="L99"/>
  <c r="AC11"/>
  <c r="AC57"/>
  <c r="AC93"/>
  <c r="AC59"/>
  <c r="AI103"/>
  <c r="AI101"/>
  <c r="AI99"/>
  <c r="AI102"/>
  <c r="AI100"/>
  <c r="AI98"/>
  <c r="AI92"/>
  <c r="E93"/>
  <c r="E59"/>
  <c r="E11"/>
  <c r="E12" s="1"/>
  <c r="E57"/>
  <c r="H103"/>
  <c r="H101"/>
  <c r="H98"/>
  <c r="H102"/>
  <c r="H92"/>
  <c r="H100"/>
  <c r="H99"/>
  <c r="C32" i="6"/>
  <c r="C63"/>
  <c r="C247"/>
  <c r="D302"/>
  <c r="B37" i="10"/>
  <c r="B20"/>
  <c r="B116"/>
  <c r="B64"/>
  <c r="C24" i="5"/>
  <c r="C40"/>
  <c r="C56"/>
  <c r="C18"/>
  <c r="C34"/>
  <c r="C50"/>
  <c r="C169" i="6"/>
  <c r="D91"/>
  <c r="D107"/>
  <c r="D75"/>
  <c r="C98"/>
  <c r="C8"/>
  <c r="C101"/>
  <c r="C197"/>
  <c r="D263"/>
  <c r="C136"/>
  <c r="C168"/>
  <c r="C202"/>
  <c r="C253"/>
  <c r="D301"/>
  <c r="D299"/>
  <c r="B119" i="10"/>
  <c r="B49"/>
  <c r="B71"/>
  <c r="B89"/>
  <c r="B15"/>
  <c r="B124"/>
  <c r="B14"/>
  <c r="C15" i="5"/>
  <c r="C31"/>
  <c r="C47"/>
  <c r="D130" i="6"/>
  <c r="C74"/>
  <c r="C96"/>
  <c r="C19"/>
  <c r="C57"/>
  <c r="C27"/>
  <c r="C60"/>
  <c r="C77"/>
  <c r="C113"/>
  <c r="C212"/>
  <c r="C256"/>
  <c r="C244"/>
  <c r="C274"/>
  <c r="D183"/>
  <c r="C222"/>
  <c r="C276"/>
  <c r="D143"/>
  <c r="D159"/>
  <c r="C184"/>
  <c r="C216"/>
  <c r="C269"/>
  <c r="C294"/>
  <c r="B102" i="10"/>
  <c r="C20" i="5"/>
  <c r="C36"/>
  <c r="C52"/>
  <c r="C14"/>
  <c r="C30"/>
  <c r="C46"/>
  <c r="C237" i="6"/>
  <c r="C56"/>
  <c r="D87"/>
  <c r="D103"/>
  <c r="C146"/>
  <c r="C52"/>
  <c r="C41"/>
  <c r="C90"/>
  <c r="C158"/>
  <c r="D38"/>
  <c r="D67"/>
  <c r="C93"/>
  <c r="C182"/>
  <c r="C232"/>
  <c r="D139"/>
  <c r="D171"/>
  <c r="C208"/>
  <c r="D239"/>
  <c r="D271"/>
  <c r="C180"/>
  <c r="C220"/>
  <c r="C268"/>
  <c r="C141"/>
  <c r="C157"/>
  <c r="D211"/>
  <c r="D267"/>
  <c r="C265"/>
  <c r="C315"/>
  <c r="D288"/>
  <c r="AF103" i="7"/>
  <c r="AF100"/>
  <c r="AF92"/>
  <c r="AF101"/>
  <c r="AF99"/>
  <c r="AF102"/>
  <c r="AF98"/>
  <c r="V93"/>
  <c r="V59"/>
  <c r="V11"/>
  <c r="V57"/>
  <c r="Q103"/>
  <c r="Q101"/>
  <c r="Q99"/>
  <c r="Q102"/>
  <c r="Q100"/>
  <c r="Q98"/>
  <c r="Q92"/>
  <c r="AJ57"/>
  <c r="AJ93"/>
  <c r="AJ59"/>
  <c r="AJ11"/>
  <c r="AK102"/>
  <c r="AK100"/>
  <c r="AK103"/>
  <c r="AK98"/>
  <c r="AK101"/>
  <c r="AK92"/>
  <c r="AK99"/>
  <c r="P102"/>
  <c r="P100"/>
  <c r="P98"/>
  <c r="P103"/>
  <c r="P92"/>
  <c r="P101"/>
  <c r="P99"/>
  <c r="O102"/>
  <c r="O100"/>
  <c r="O98"/>
  <c r="O103"/>
  <c r="O92"/>
  <c r="O101"/>
  <c r="O99"/>
  <c r="N103"/>
  <c r="N100"/>
  <c r="N92"/>
  <c r="N101"/>
  <c r="N99"/>
  <c r="N102"/>
  <c r="N98"/>
  <c r="X57"/>
  <c r="X93"/>
  <c r="X59"/>
  <c r="X11"/>
  <c r="AH102"/>
  <c r="AH99"/>
  <c r="AH100"/>
  <c r="AH98"/>
  <c r="AH103"/>
  <c r="AH92"/>
  <c r="AH101"/>
  <c r="AI93"/>
  <c r="AI59"/>
  <c r="AI11"/>
  <c r="AI12" s="1"/>
  <c r="AI57"/>
  <c r="C277" i="6"/>
  <c r="D290"/>
  <c r="B9" i="7"/>
  <c r="B16" i="10"/>
  <c r="B120"/>
  <c r="B72"/>
  <c r="D24" i="5"/>
  <c r="D40"/>
  <c r="D56"/>
  <c r="D18"/>
  <c r="D34"/>
  <c r="D50"/>
  <c r="C91" i="6"/>
  <c r="C107"/>
  <c r="C75"/>
  <c r="D8"/>
  <c r="D101"/>
  <c r="D197"/>
  <c r="D136"/>
  <c r="D168"/>
  <c r="D202"/>
  <c r="D253"/>
  <c r="C301"/>
  <c r="D286"/>
  <c r="B11" i="10"/>
  <c r="B23"/>
  <c r="B50"/>
  <c r="B86"/>
  <c r="D15" i="5"/>
  <c r="D31"/>
  <c r="D47"/>
  <c r="C130" i="6"/>
  <c r="D74"/>
  <c r="D96"/>
  <c r="D19"/>
  <c r="D57"/>
  <c r="D27"/>
  <c r="D60"/>
  <c r="D77"/>
  <c r="D113"/>
  <c r="D212"/>
  <c r="D256"/>
  <c r="D244"/>
  <c r="D274"/>
  <c r="D222"/>
  <c r="D276"/>
  <c r="C143"/>
  <c r="C159"/>
  <c r="D184"/>
  <c r="D216"/>
  <c r="D269"/>
  <c r="D294"/>
  <c r="C311"/>
  <c r="B106" i="10"/>
  <c r="D20" i="5"/>
  <c r="D36"/>
  <c r="D52"/>
  <c r="D14"/>
  <c r="D30"/>
  <c r="D46"/>
  <c r="D237" i="6"/>
  <c r="D56"/>
  <c r="C87"/>
  <c r="C103"/>
  <c r="D146"/>
  <c r="D52"/>
  <c r="D41"/>
  <c r="D90"/>
  <c r="D158"/>
  <c r="C38"/>
  <c r="C67"/>
  <c r="D93"/>
  <c r="D182"/>
  <c r="D232"/>
  <c r="C139"/>
  <c r="C171"/>
  <c r="D208"/>
  <c r="C239"/>
  <c r="C271"/>
  <c r="D180"/>
  <c r="D220"/>
  <c r="D268"/>
  <c r="D141"/>
  <c r="D157"/>
  <c r="C211"/>
  <c r="C267"/>
  <c r="D265"/>
  <c r="D315"/>
  <c r="D305"/>
  <c r="AH94" i="7" l="1"/>
  <c r="AH105"/>
  <c r="AK105"/>
  <c r="AK94"/>
  <c r="AI105"/>
  <c r="AI94"/>
  <c r="E105"/>
  <c r="E94"/>
  <c r="AG105"/>
  <c r="AG94"/>
  <c r="AI13"/>
  <c r="U12"/>
  <c r="U13" s="1"/>
  <c r="G12"/>
  <c r="G13" s="1"/>
  <c r="C12"/>
  <c r="C13" s="1"/>
  <c r="O12"/>
  <c r="O13" s="1"/>
  <c r="O105"/>
  <c r="O94"/>
  <c r="H105"/>
  <c r="H94"/>
  <c r="M105"/>
  <c r="M94"/>
  <c r="Z105"/>
  <c r="Z94"/>
  <c r="AE105"/>
  <c r="AE94"/>
  <c r="V105"/>
  <c r="V94"/>
  <c r="B94"/>
  <c r="B105"/>
  <c r="W105"/>
  <c r="W94"/>
  <c r="AA12"/>
  <c r="AA13" s="1"/>
  <c r="AB12"/>
  <c r="AB13" s="1"/>
  <c r="J12"/>
  <c r="J13" s="1"/>
  <c r="P12"/>
  <c r="P13" s="1"/>
  <c r="AG12"/>
  <c r="AG13" s="1"/>
  <c r="L12"/>
  <c r="L13" s="1"/>
  <c r="I12"/>
  <c r="I13" s="1"/>
  <c r="AD12"/>
  <c r="AD13" s="1"/>
  <c r="AK12"/>
  <c r="AK13" s="1"/>
  <c r="N94"/>
  <c r="N105"/>
  <c r="P94"/>
  <c r="P105"/>
  <c r="Q105"/>
  <c r="Q94"/>
  <c r="I105"/>
  <c r="I94"/>
  <c r="AD105"/>
  <c r="AD94"/>
  <c r="AJ94"/>
  <c r="AJ105"/>
  <c r="AC105"/>
  <c r="AC94"/>
  <c r="AA105"/>
  <c r="AA94"/>
  <c r="AB94"/>
  <c r="AB105"/>
  <c r="K105"/>
  <c r="K94"/>
  <c r="U105"/>
  <c r="U94"/>
  <c r="F105"/>
  <c r="F94"/>
  <c r="C105"/>
  <c r="C94"/>
  <c r="D105"/>
  <c r="D94"/>
  <c r="X12"/>
  <c r="X13" s="1"/>
  <c r="AJ12"/>
  <c r="AJ13" s="1"/>
  <c r="V12"/>
  <c r="V13" s="1"/>
  <c r="AC12"/>
  <c r="AC13" s="1"/>
  <c r="AE12"/>
  <c r="AE13" s="1"/>
  <c r="K12"/>
  <c r="K13" s="1"/>
  <c r="Q12"/>
  <c r="Q13" s="1"/>
  <c r="W12"/>
  <c r="W13" s="1"/>
  <c r="M12"/>
  <c r="M13" s="1"/>
  <c r="Z12"/>
  <c r="Z13" s="1"/>
  <c r="AF94"/>
  <c r="AF105"/>
  <c r="L105"/>
  <c r="L94"/>
  <c r="X105"/>
  <c r="X94"/>
  <c r="J94"/>
  <c r="J105"/>
  <c r="G105"/>
  <c r="G94"/>
  <c r="E13"/>
  <c r="D12"/>
  <c r="D13" s="1"/>
  <c r="AH12"/>
  <c r="AH13" s="1"/>
  <c r="F12"/>
  <c r="F13" s="1"/>
  <c r="B12"/>
  <c r="B13" s="1"/>
  <c r="H12"/>
  <c r="H13" s="1"/>
  <c r="N12"/>
  <c r="N13" s="1"/>
  <c r="AF12"/>
  <c r="AF13" s="1"/>
  <c r="B14" l="1"/>
  <c r="A95"/>
</calcChain>
</file>

<file path=xl/sharedStrings.xml><?xml version="1.0" encoding="utf-8"?>
<sst xmlns="http://schemas.openxmlformats.org/spreadsheetml/2006/main" count="6616" uniqueCount="1342">
  <si>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</si>
  <si>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</si>
  <si>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</si>
  <si>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</si>
  <si>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</si>
  <si>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</si>
  <si>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</si>
  <si>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</si>
  <si>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</si>
  <si>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</si>
  <si>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</si>
  <si>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</si>
  <si>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</si>
  <si>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</si>
  <si>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</si>
  <si>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</si>
  <si>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</si>
  <si>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Rhys Boorman</t>
  </si>
  <si>
    <t>Hastings AC</t>
  </si>
  <si>
    <t>HAC</t>
  </si>
  <si>
    <t>HR/HAC</t>
  </si>
  <si>
    <t>SM</t>
  </si>
  <si>
    <t>SM1</t>
  </si>
  <si>
    <t>ANDREW GREEN</t>
  </si>
  <si>
    <t>Uckfield Runners</t>
  </si>
  <si>
    <t>UCK</t>
  </si>
  <si>
    <t>HTH/UCK</t>
  </si>
  <si>
    <t>David Ervine</t>
  </si>
  <si>
    <t>HY Runners</t>
  </si>
  <si>
    <t>HYR</t>
  </si>
  <si>
    <t>JEREMY HENWOOD</t>
  </si>
  <si>
    <t>M35</t>
  </si>
  <si>
    <t>SM2</t>
  </si>
  <si>
    <t>STEVE GATES</t>
  </si>
  <si>
    <t>MICHAEL MAXWELL</t>
  </si>
  <si>
    <t>SM3</t>
  </si>
  <si>
    <t>COLIN TRICKER</t>
  </si>
  <si>
    <t>Crowborough Runners</t>
  </si>
  <si>
    <t>CROW</t>
  </si>
  <si>
    <t>M40</t>
  </si>
  <si>
    <t>M401</t>
  </si>
  <si>
    <t>STUART PIPER</t>
  </si>
  <si>
    <t>JEFF PYRAH</t>
  </si>
  <si>
    <t>M50</t>
  </si>
  <si>
    <t>M501</t>
  </si>
  <si>
    <t>GRAEME MCINTOSH</t>
  </si>
  <si>
    <t>Wadhurst Runners</t>
  </si>
  <si>
    <t>WAD</t>
  </si>
  <si>
    <t>RICHARD DOCWRA</t>
  </si>
  <si>
    <t>Lewes AC</t>
  </si>
  <si>
    <t>LEW</t>
  </si>
  <si>
    <t>TEO VAN WELL</t>
  </si>
  <si>
    <t>Arena 80 AC</t>
  </si>
  <si>
    <t>A80</t>
  </si>
  <si>
    <t>M45</t>
  </si>
  <si>
    <t>STUART PELLING</t>
  </si>
  <si>
    <t>Eastbourne Rovers</t>
  </si>
  <si>
    <t>EAST</t>
  </si>
  <si>
    <t>EAST/BDY</t>
  </si>
  <si>
    <t>JACK HUTCHINSON</t>
  </si>
  <si>
    <t>Seaford Striders</t>
  </si>
  <si>
    <t>SEAF</t>
  </si>
  <si>
    <t>PSST</t>
  </si>
  <si>
    <t>JONATHAN HATCH</t>
  </si>
  <si>
    <t>DAVID GARRATT</t>
  </si>
  <si>
    <t>Hailsham Harriers</t>
  </si>
  <si>
    <t>HAIL</t>
  </si>
  <si>
    <t>OLIVER BLAYDEN</t>
  </si>
  <si>
    <t>Heathfield Road Runners</t>
  </si>
  <si>
    <t>HEAT</t>
  </si>
  <si>
    <t>Jim Risdale</t>
  </si>
  <si>
    <t>M402</t>
  </si>
  <si>
    <t>JAMES BRYANT</t>
  </si>
  <si>
    <t>MATT CLARE</t>
  </si>
  <si>
    <t>Samuel Brooks</t>
  </si>
  <si>
    <t>Brighton &amp; Hove Frontrunners</t>
  </si>
  <si>
    <t>FRONTR</t>
  </si>
  <si>
    <t>JACK UPTON</t>
  </si>
  <si>
    <t>COLIN BENNETT</t>
  </si>
  <si>
    <t>M55</t>
  </si>
  <si>
    <t>M502</t>
  </si>
  <si>
    <t>CHRIS DOHERTY</t>
  </si>
  <si>
    <t>NIGEL JEWELL</t>
  </si>
  <si>
    <t>Bexhill Run Tri</t>
  </si>
  <si>
    <t>BEX</t>
  </si>
  <si>
    <t>JAMES MARRON</t>
  </si>
  <si>
    <t>CLAIRE READ</t>
  </si>
  <si>
    <t>Hastings Runners</t>
  </si>
  <si>
    <t>HR</t>
  </si>
  <si>
    <t>SF</t>
  </si>
  <si>
    <t>SF1</t>
  </si>
  <si>
    <t>STEWART GREGORY</t>
  </si>
  <si>
    <t>Portslade Hedgehoppers</t>
  </si>
  <si>
    <t>HEDGE</t>
  </si>
  <si>
    <t>JOSH NISBETT</t>
  </si>
  <si>
    <t>Darryl Parker</t>
  </si>
  <si>
    <t>PAUL LAMBERT</t>
  </si>
  <si>
    <t>SM4</t>
  </si>
  <si>
    <t>JIM WATSON</t>
  </si>
  <si>
    <t>DARREN BARZEE</t>
  </si>
  <si>
    <t>PETER NOON</t>
  </si>
  <si>
    <t>GARY BURNHAM-JONES</t>
  </si>
  <si>
    <t>Tri Tempo</t>
  </si>
  <si>
    <t>TRIT</t>
  </si>
  <si>
    <t>MARTIN NOAKES</t>
  </si>
  <si>
    <t>M60</t>
  </si>
  <si>
    <t>M601</t>
  </si>
  <si>
    <t>STEVE HUTCHISON</t>
  </si>
  <si>
    <t>KIRSTY MCDERMOTT</t>
  </si>
  <si>
    <t>F35</t>
  </si>
  <si>
    <t>Ed Tuckley</t>
  </si>
  <si>
    <t>NS</t>
  </si>
  <si>
    <t>BEN MCNEILL</t>
  </si>
  <si>
    <t>NSM1</t>
  </si>
  <si>
    <t>LAURA SEAMAN</t>
  </si>
  <si>
    <t>DAVE DUNSTALL</t>
  </si>
  <si>
    <t>RORY MCINTYRE</t>
  </si>
  <si>
    <t>RunWednesdays</t>
  </si>
  <si>
    <t>RUNW</t>
  </si>
  <si>
    <t>GORDON BERRY</t>
  </si>
  <si>
    <t>M403</t>
  </si>
  <si>
    <t>JAMES GRIFFITHS</t>
  </si>
  <si>
    <t>KATY PARTINGTON</t>
  </si>
  <si>
    <t>BADRINATH MOHANDAS</t>
  </si>
  <si>
    <t>RODNEY DEMPSTER</t>
  </si>
  <si>
    <t>GUY WILLIAMS</t>
  </si>
  <si>
    <t>DAVE TURNER</t>
  </si>
  <si>
    <t>M503</t>
  </si>
  <si>
    <t>GERALDINE MOFFAT</t>
  </si>
  <si>
    <t>F55</t>
  </si>
  <si>
    <t>F501</t>
  </si>
  <si>
    <t>GRAHAM WOOLLEY</t>
  </si>
  <si>
    <t>IAN WESTON</t>
  </si>
  <si>
    <t>Polegate Plodders</t>
  </si>
  <si>
    <t>POLE</t>
  </si>
  <si>
    <t>ZACH DRAKE</t>
  </si>
  <si>
    <t>ANDREW JOAD</t>
  </si>
  <si>
    <t>ROB FERGUSON</t>
  </si>
  <si>
    <t>ROBIN WARWICK</t>
  </si>
  <si>
    <t>ANDREA HARWOOD</t>
  </si>
  <si>
    <t>F45</t>
  </si>
  <si>
    <t>F401</t>
  </si>
  <si>
    <t>CLAIRE THOMAS</t>
  </si>
  <si>
    <t>SF2</t>
  </si>
  <si>
    <t>JOHANNA DOWLE</t>
  </si>
  <si>
    <t>JAMES HARRIS</t>
  </si>
  <si>
    <t>MATTHEW HARMER</t>
  </si>
  <si>
    <t>COLIN KEAST</t>
  </si>
  <si>
    <t>KEVIN BLOWERS</t>
  </si>
  <si>
    <t>M602</t>
  </si>
  <si>
    <t>HEATHER JENNER</t>
  </si>
  <si>
    <t>F40</t>
  </si>
  <si>
    <t>MATTHEW MILLER</t>
  </si>
  <si>
    <t>CHARLIE LONG</t>
  </si>
  <si>
    <t>Paul Arthur</t>
  </si>
  <si>
    <t>NEIL THOMAS</t>
  </si>
  <si>
    <t>M65</t>
  </si>
  <si>
    <t>MARTIN TURNER</t>
  </si>
  <si>
    <t>NEIL JEFFRIES</t>
  </si>
  <si>
    <t>NSM2</t>
  </si>
  <si>
    <t>DAVID WHARTON</t>
  </si>
  <si>
    <t>Meads Runners</t>
  </si>
  <si>
    <t>MEAD</t>
  </si>
  <si>
    <t>MARK STAINTHORPE</t>
  </si>
  <si>
    <t>MARK WILSON</t>
  </si>
  <si>
    <t>ALEX DARSLEY</t>
  </si>
  <si>
    <t>SALLY NORRIS</t>
  </si>
  <si>
    <t>JOHN HARDING</t>
  </si>
  <si>
    <t>CHRIS LITTLE</t>
  </si>
  <si>
    <t>JAMES ALLEN</t>
  </si>
  <si>
    <t>RICHARD PREECE</t>
  </si>
  <si>
    <t>DAMIAN BREWER</t>
  </si>
  <si>
    <t>GERARD DUMMETT</t>
  </si>
  <si>
    <t>POPPY GOOCH</t>
  </si>
  <si>
    <t>NICKY BIGNELL</t>
  </si>
  <si>
    <t>Nick Attwood</t>
  </si>
  <si>
    <t>NSM3</t>
  </si>
  <si>
    <t>PHILIP VISICK</t>
  </si>
  <si>
    <t>MICHAEL MILLER</t>
  </si>
  <si>
    <t>MARINA DAVIES</t>
  </si>
  <si>
    <t>F50</t>
  </si>
  <si>
    <t>ANDREW SHIPILOV</t>
  </si>
  <si>
    <t>NSM4</t>
  </si>
  <si>
    <t>GRAHAM PURDYE</t>
  </si>
  <si>
    <t>RAY SMITH</t>
  </si>
  <si>
    <t>JAMIE KENNEDY</t>
  </si>
  <si>
    <t>NSM5</t>
  </si>
  <si>
    <t>IMOGEN BURMAN-MITCHELL</t>
  </si>
  <si>
    <t>JENNA LEVETT</t>
  </si>
  <si>
    <t>NSF1</t>
  </si>
  <si>
    <t>CHRISTOPHER FOWLER</t>
  </si>
  <si>
    <t>NSM6</t>
  </si>
  <si>
    <t>LAURENCE SAVA</t>
  </si>
  <si>
    <t>KATHERINE MCCORRY</t>
  </si>
  <si>
    <t>F402</t>
  </si>
  <si>
    <t>DARREN BRODERICK</t>
  </si>
  <si>
    <t>DAVID FOSTER</t>
  </si>
  <si>
    <t>DANNY GARBETT</t>
  </si>
  <si>
    <t>ELLIE KING</t>
  </si>
  <si>
    <t>JAMIE BUSHNELL</t>
  </si>
  <si>
    <t>Central Park Athletics</t>
  </si>
  <si>
    <t>CPA</t>
  </si>
  <si>
    <t>PETER KENNEDY</t>
  </si>
  <si>
    <t>M70</t>
  </si>
  <si>
    <t>TREVOR BRIGGS</t>
  </si>
  <si>
    <t>GRAHAM WEST</t>
  </si>
  <si>
    <t>GEOFF TONDEUR</t>
  </si>
  <si>
    <t>STEPHEN LANGRIDGE</t>
  </si>
  <si>
    <t>MARY SANDERSON</t>
  </si>
  <si>
    <t>ANDREW CHITTY</t>
  </si>
  <si>
    <t>JEMMA VILE</t>
  </si>
  <si>
    <t>MARK WARDLE</t>
  </si>
  <si>
    <t>STUART MCKENZIE</t>
  </si>
  <si>
    <t>JULIE DRAKE</t>
  </si>
  <si>
    <t>TONY WRIGHT</t>
  </si>
  <si>
    <t>STEPHEN BURGESS</t>
  </si>
  <si>
    <t>JENNY HUGHES</t>
  </si>
  <si>
    <t>F60</t>
  </si>
  <si>
    <t>F601</t>
  </si>
  <si>
    <t>MIKE THOMPSON</t>
  </si>
  <si>
    <t>BOB PAGE</t>
  </si>
  <si>
    <t>TINA MACENHILL</t>
  </si>
  <si>
    <t>Holly Horseman</t>
  </si>
  <si>
    <t>HELEN DAWSON</t>
  </si>
  <si>
    <t>JOHN EVEREST</t>
  </si>
  <si>
    <t>ANDY KNIGHT</t>
  </si>
  <si>
    <t>GUY RAMAGE</t>
  </si>
  <si>
    <t>JO NEVETT</t>
  </si>
  <si>
    <t>ABIGAIL MORRIS</t>
  </si>
  <si>
    <t>BRYAN TAPSELL</t>
  </si>
  <si>
    <t>SARAH CASE</t>
  </si>
  <si>
    <t>CHLOE LE FAY</t>
  </si>
  <si>
    <t>NSF2</t>
  </si>
  <si>
    <t>PAUL ZIPPERLEN</t>
  </si>
  <si>
    <t>POPPY ALDRICH</t>
  </si>
  <si>
    <t>NSF3</t>
  </si>
  <si>
    <t>LINDA HAYES</t>
  </si>
  <si>
    <t>PHILIP WRIGHT</t>
  </si>
  <si>
    <t>FIONA WILLIAMS</t>
  </si>
  <si>
    <t>TERRY AYRES</t>
  </si>
  <si>
    <t>ROSY CLEMENTS</t>
  </si>
  <si>
    <t>NSF4</t>
  </si>
  <si>
    <t>STEVE SHIMMONS</t>
  </si>
  <si>
    <t>COLIN HARRIS</t>
  </si>
  <si>
    <t>BEN PAWLEY</t>
  </si>
  <si>
    <t>ROGER HUMPHRIES</t>
  </si>
  <si>
    <t>GILLIAN MILES</t>
  </si>
  <si>
    <t>F502</t>
  </si>
  <si>
    <t>BOB HUGHES</t>
  </si>
  <si>
    <t>EVELYN GRIFFITHS</t>
  </si>
  <si>
    <t>IAN PRATT</t>
  </si>
  <si>
    <t>Seafront Shufflers</t>
  </si>
  <si>
    <t>SHUF</t>
  </si>
  <si>
    <t>Alastair Lee</t>
  </si>
  <si>
    <t>JANE HEASMAN</t>
  </si>
  <si>
    <t>STACEY POLLARD</t>
  </si>
  <si>
    <t>SARAH MORRIS (RW)</t>
  </si>
  <si>
    <t>JULIE TREMLIN</t>
  </si>
  <si>
    <t>RICHARD BLOTT</t>
  </si>
  <si>
    <t>ROS DAINTREE</t>
  </si>
  <si>
    <t>F65</t>
  </si>
  <si>
    <t>FRANK BRENNAN</t>
  </si>
  <si>
    <t>DON CURRIE</t>
  </si>
  <si>
    <t>GRANT MEYER</t>
  </si>
  <si>
    <t>ROBERT WEIGHELL</t>
  </si>
  <si>
    <t>Hannah Collinson</t>
  </si>
  <si>
    <t>Rhys Munsch</t>
  </si>
  <si>
    <t>GARETH PURVES</t>
  </si>
  <si>
    <t>GILES CLARK</t>
  </si>
  <si>
    <t>BRIAN BARLEY</t>
  </si>
  <si>
    <t>DENISE JEFFREY</t>
  </si>
  <si>
    <t>F602</t>
  </si>
  <si>
    <t>VICTORIA HAYNES</t>
  </si>
  <si>
    <t>VICTORIA LITTLE</t>
  </si>
  <si>
    <t>ANNETTE FEAKES</t>
  </si>
  <si>
    <t>MICHAEL LOCKWOOD</t>
  </si>
  <si>
    <t>GRAHAM STEVENS</t>
  </si>
  <si>
    <t>YAN WU</t>
  </si>
  <si>
    <t>MARY AUSTIN-OLSEN</t>
  </si>
  <si>
    <t>F70</t>
  </si>
  <si>
    <t>JULIAN MILLS</t>
  </si>
  <si>
    <t>PAUL CRAWLEY</t>
  </si>
  <si>
    <t>TRISH AUDIS</t>
  </si>
  <si>
    <t>NICK THOMPSON</t>
  </si>
  <si>
    <t>CHRISTOPHER GOLDING</t>
  </si>
  <si>
    <t>COLIN BURBAGE</t>
  </si>
  <si>
    <t>GRAEME HEATON</t>
  </si>
  <si>
    <t>RUTH SPILLER</t>
  </si>
  <si>
    <t>Graham Clark</t>
  </si>
  <si>
    <t>JENNA HARMER</t>
  </si>
  <si>
    <t>STEPHEN GREEN</t>
  </si>
  <si>
    <t>JONATHAN KELLY</t>
  </si>
  <si>
    <t>RICHARD MEYER</t>
  </si>
  <si>
    <t>SOPHIE HUTCHISON</t>
  </si>
  <si>
    <t>ALEX VALENTINO</t>
  </si>
  <si>
    <t>DAVID BRATBY</t>
  </si>
  <si>
    <t>VAL BROCKWELL</t>
  </si>
  <si>
    <t>JANE KEMP</t>
  </si>
  <si>
    <t>CATHERINE CROMBIE</t>
  </si>
  <si>
    <t>Kevin Wilkes</t>
  </si>
  <si>
    <t>LUCIE SMITALOVA</t>
  </si>
  <si>
    <t>PETER CLARK</t>
  </si>
  <si>
    <t>TIM MONSON</t>
  </si>
  <si>
    <t>JAMES KILVINGTON</t>
  </si>
  <si>
    <t>MARK HILL</t>
  </si>
  <si>
    <t>PIERS BRUNNING</t>
  </si>
  <si>
    <t>PAUL HOPE</t>
  </si>
  <si>
    <t>PETE THOMAS</t>
  </si>
  <si>
    <t>HELEN HOWARD</t>
  </si>
  <si>
    <t>JO FRENCH</t>
  </si>
  <si>
    <t>ELEANOR WIGRAM</t>
  </si>
  <si>
    <t>Eddie Winter</t>
  </si>
  <si>
    <t>KELLY DE ROSA</t>
  </si>
  <si>
    <t>RON CUTBILL</t>
  </si>
  <si>
    <t>SALLY MCCLEVERTY</t>
  </si>
  <si>
    <t>SUSANNAH TAPP</t>
  </si>
  <si>
    <t>SUZANNAH TAYLOR</t>
  </si>
  <si>
    <t>KEVIN BURTON</t>
  </si>
  <si>
    <t>DEE POOLE</t>
  </si>
  <si>
    <t>CAROLINE GEARING</t>
  </si>
  <si>
    <t>DENISE ROSE</t>
  </si>
  <si>
    <t>SAM DISSANAYAKA</t>
  </si>
  <si>
    <t>Paul Lockwood</t>
  </si>
  <si>
    <t>MIKE LAWLOR</t>
  </si>
  <si>
    <t>SHANA BURCHETT</t>
  </si>
  <si>
    <t>Krista Barzee</t>
  </si>
  <si>
    <t>SARAH RUSSELL</t>
  </si>
  <si>
    <t>LOUISA GEER</t>
  </si>
  <si>
    <t>JAYNE MORRIS</t>
  </si>
  <si>
    <t>JOHN GATELY</t>
  </si>
  <si>
    <t>MARTIN HARMAN</t>
  </si>
  <si>
    <t>DAGMARA GINTER</t>
  </si>
  <si>
    <t>ANN TOWNSEND</t>
  </si>
  <si>
    <t>JOHN BROWN</t>
  </si>
  <si>
    <t>ROSALIND WILKINS</t>
  </si>
  <si>
    <t>EDEN SUMMERS</t>
  </si>
  <si>
    <t>ANN KOMZOLIK</t>
  </si>
  <si>
    <t>JO EDWARDS</t>
  </si>
  <si>
    <t>KAYLA QUINNELL</t>
  </si>
  <si>
    <t>YOCKIE RICHARDSON</t>
  </si>
  <si>
    <t>Jamie Wilkinson</t>
  </si>
  <si>
    <t>NICKY THOMPSETT</t>
  </si>
  <si>
    <t>RACHAEL STEPHENS</t>
  </si>
  <si>
    <t>ANTHONY WILSON</t>
  </si>
  <si>
    <t>CHRIS SANDERSON</t>
  </si>
  <si>
    <t>CLAIRE SHIMMONS</t>
  </si>
  <si>
    <t>JAMES GRAHAM</t>
  </si>
  <si>
    <t>NESS GRAY</t>
  </si>
  <si>
    <t>ELLIE MILLER</t>
  </si>
  <si>
    <t>GRAHAM PEARSON</t>
  </si>
  <si>
    <t>DNF</t>
  </si>
  <si>
    <t>CHRIS FINDLAY-GEER</t>
  </si>
  <si>
    <t>ALLAN MARSHALL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</si>
  <si>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</si>
  <si>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</si>
  <si>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</si>
  <si>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</si>
  <si>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</si>
  <si>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</si>
  <si>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CumMenFormulaPosition</t>
  </si>
  <si>
    <t>RaceNo</t>
  </si>
  <si>
    <t>ToFile8</t>
  </si>
  <si>
    <t>Allocation check</t>
  </si>
  <si>
    <t>Incl for weighted sort</t>
  </si>
  <si>
    <t>To include in max</t>
  </si>
  <si>
    <t>This is no of scoring races less 1 so if 4 races the calc max score is highest 3 + highest score</t>
  </si>
  <si>
    <t>Muliplier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</si>
  <si>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</si>
  <si>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</si>
  <si>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</si>
  <si>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</si>
  <si>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</si>
  <si>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</si>
  <si>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</si>
  <si>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</si>
  <si>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</si>
  <si>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</si>
  <si>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</si>
  <si>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</si>
  <si>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</si>
  <si>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</si>
  <si>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</si>
  <si>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</si>
  <si>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</si>
  <si>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</si>
  <si>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</si>
  <si>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</si>
  <si>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</si>
  <si>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</si>
  <si>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</si>
  <si>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</si>
  <si>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</si>
  <si>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This race score</t>
  </si>
  <si>
    <t>Position adjt</t>
  </si>
  <si>
    <t>Position adjt E Sx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</si>
  <si>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</si>
  <si>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</si>
  <si>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</si>
  <si>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</si>
  <si>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</si>
  <si>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</si>
  <si>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</si>
  <si>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</si>
  <si>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</si>
  <si>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</si>
  <si>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BEN PEPLER</t>
  </si>
  <si>
    <t>JAKE GREENWOOD</t>
  </si>
  <si>
    <t>SEAN PARKER-HARDING</t>
  </si>
  <si>
    <t>OLLIE SPRAGUE</t>
  </si>
  <si>
    <t>LEWIS DAVIES</t>
  </si>
  <si>
    <t>Patrick McManus</t>
  </si>
  <si>
    <t>ANGUS PETERS</t>
  </si>
  <si>
    <t>BTNTRI</t>
  </si>
  <si>
    <t>TOM BILTON</t>
  </si>
  <si>
    <t>BEN SKINNER</t>
  </si>
  <si>
    <t>MARCO ROYES</t>
  </si>
  <si>
    <t>JURGEN FORSTER</t>
  </si>
  <si>
    <t>Ben McCallion</t>
  </si>
  <si>
    <t>GEORGE STEWART</t>
  </si>
  <si>
    <t>SAM DOWLER</t>
  </si>
  <si>
    <t>SAM BRETHERTON</t>
  </si>
  <si>
    <t>ALEX RAWLINSON</t>
  </si>
  <si>
    <t>MATTHEW GRINDROD</t>
  </si>
  <si>
    <t>SHAY ROSENTHAL</t>
  </si>
  <si>
    <t>James Jewell</t>
  </si>
  <si>
    <t>Richard Strong</t>
  </si>
  <si>
    <t>Miller Davies</t>
  </si>
  <si>
    <t>CAMERON SHARP</t>
  </si>
  <si>
    <t>Luke Tomsett</t>
  </si>
  <si>
    <t>Joe Lunt</t>
  </si>
  <si>
    <t>Oliver Carey</t>
  </si>
  <si>
    <t>RICKY COLEMAN</t>
  </si>
  <si>
    <t>TOM MARCHANT</t>
  </si>
  <si>
    <t>Richard Emerson</t>
  </si>
  <si>
    <t>JAMIE YATES</t>
  </si>
  <si>
    <t>CHRIS PRICE</t>
  </si>
  <si>
    <t>Francisco Gassin</t>
  </si>
  <si>
    <t>REUBEN COPPARD</t>
  </si>
  <si>
    <t>BENNY FIDDIMORE</t>
  </si>
  <si>
    <t>SAM UNWIN</t>
  </si>
  <si>
    <t>MATT STAINTHORPE</t>
  </si>
  <si>
    <t>STEVEN RIGGS</t>
  </si>
  <si>
    <t>JOSH LLEWELLYN</t>
  </si>
  <si>
    <t>M351</t>
  </si>
  <si>
    <t>M352</t>
  </si>
  <si>
    <t>M353</t>
  </si>
  <si>
    <t>WILL WITHECOMBE</t>
  </si>
  <si>
    <t>LUKE REGAN</t>
  </si>
  <si>
    <t>MARK POPE</t>
  </si>
  <si>
    <t>MARC GUMBRELL</t>
  </si>
  <si>
    <t>CHRIS COFFEY</t>
  </si>
  <si>
    <t>MATT SOUTHAM</t>
  </si>
  <si>
    <t>TIM ARCHER</t>
  </si>
  <si>
    <t>TOM PRICE</t>
  </si>
  <si>
    <t>GRAHAM BAKER</t>
  </si>
  <si>
    <t>Tom Evans</t>
  </si>
  <si>
    <t>PATRICK MARSDEN</t>
  </si>
  <si>
    <t>Phillip Stevenson</t>
  </si>
  <si>
    <t>RICHARD PINELES-WEST</t>
  </si>
  <si>
    <t>OLLIE WELCH</t>
  </si>
  <si>
    <t>LEE HEWSON</t>
  </si>
  <si>
    <t>WILL MONNINGTON</t>
  </si>
  <si>
    <t>SCOTT HARRIS</t>
  </si>
  <si>
    <t>JAMIE HINKS</t>
  </si>
  <si>
    <t>JAMES PREECE</t>
  </si>
  <si>
    <t>ALEXANDER GUSAK</t>
  </si>
  <si>
    <t>CHRIS REID</t>
  </si>
  <si>
    <t>TODD FITZ-HUGH</t>
  </si>
  <si>
    <t>Dominic Doran</t>
  </si>
  <si>
    <t>TOM PEELING</t>
  </si>
  <si>
    <t>SHANE SMITH</t>
  </si>
  <si>
    <t>GARY MILES</t>
  </si>
  <si>
    <t>JOHN BABAJIDE</t>
  </si>
  <si>
    <t>SCOTT OAKLEY</t>
  </si>
  <si>
    <t>PAUL HOWARD</t>
  </si>
  <si>
    <t>ADAM VAUGHAN</t>
  </si>
  <si>
    <t>JAMIE KEDDIE</t>
  </si>
  <si>
    <t>PETER WOODWARD</t>
  </si>
  <si>
    <t>DAVID WOOLLARD</t>
  </si>
  <si>
    <t>GARETH WILLIAMS</t>
  </si>
  <si>
    <t>LOS BURRETT</t>
  </si>
  <si>
    <t>SAM DAVIES</t>
  </si>
  <si>
    <t>LIAM BROOKS</t>
  </si>
  <si>
    <t>RICHARD DAVIS</t>
  </si>
  <si>
    <t>ALAN MARSH</t>
  </si>
  <si>
    <t>BDY</t>
  </si>
  <si>
    <t>STEPHEN MARSDEN</t>
  </si>
  <si>
    <t>CHRIS SHOULT</t>
  </si>
  <si>
    <t>JAMES ROBERTS</t>
  </si>
  <si>
    <t>JURIY KORCHEV</t>
  </si>
  <si>
    <t>JOSEPH O'GORMAN</t>
  </si>
  <si>
    <t>TOBIAS BREMER</t>
  </si>
  <si>
    <t>MARK FERRIS</t>
  </si>
  <si>
    <t>STUART GREEN</t>
  </si>
  <si>
    <t>SCOTT WERNER</t>
  </si>
  <si>
    <t>GEORGE CSATLOS</t>
  </si>
  <si>
    <t>CHRISTOPHER LUGG</t>
  </si>
  <si>
    <t>MACIEJ OZIMKIEWICZ</t>
  </si>
  <si>
    <t>BRIAN BIRKMYRE</t>
  </si>
  <si>
    <t>Ross Horsman</t>
  </si>
  <si>
    <t>ORLANDO BROOKE</t>
  </si>
  <si>
    <t>NICK FARLEY</t>
  </si>
  <si>
    <t>JAMES BLURING</t>
  </si>
  <si>
    <t>RICHARD VERCOE</t>
  </si>
  <si>
    <t>GEORGE MARSHALL</t>
  </si>
  <si>
    <t>JOE LAND</t>
  </si>
  <si>
    <t>MATTHEW PYSDEN</t>
  </si>
  <si>
    <t>Ed Barnes</t>
  </si>
  <si>
    <t>Chris Richards</t>
  </si>
  <si>
    <t>NICKOLAJ KENNETT</t>
  </si>
  <si>
    <t>DEAN LAYEN</t>
  </si>
  <si>
    <t>JOE CRUTTENDEN</t>
  </si>
  <si>
    <t>NICHOLAS KING</t>
  </si>
  <si>
    <t>HUGH STEPHENSON</t>
  </si>
  <si>
    <t>DAVE MORAN</t>
  </si>
  <si>
    <t>M451</t>
  </si>
  <si>
    <t>M452</t>
  </si>
  <si>
    <t>M453</t>
  </si>
  <si>
    <t>CARL BARTON</t>
  </si>
  <si>
    <t>GARY WOOLVEN</t>
  </si>
  <si>
    <t>NEIL COUCHMAN</t>
  </si>
  <si>
    <t>PERRY STOCK</t>
  </si>
  <si>
    <t>LEIGH HARRIS</t>
  </si>
  <si>
    <t>RICHARD GARDINER</t>
  </si>
  <si>
    <t>JONATHAN RAFFERTY</t>
  </si>
  <si>
    <t>DAN SHIPTON</t>
  </si>
  <si>
    <t>SPENCER KNAGGS</t>
  </si>
  <si>
    <t>NEAL CASS</t>
  </si>
  <si>
    <t>STEFFAN MEYRIC HUGHES</t>
  </si>
  <si>
    <t>DOMINIC TANSLEY</t>
  </si>
  <si>
    <t>Paul Standen-Payne</t>
  </si>
  <si>
    <t>STEVEN MASKELL</t>
  </si>
  <si>
    <t>Stephen Lamprell</t>
  </si>
  <si>
    <t>VESA LINDBERG</t>
  </si>
  <si>
    <t>CRAIG SHARP</t>
  </si>
  <si>
    <t>DAN ANDERSON</t>
  </si>
  <si>
    <t>BEN HODGSON</t>
  </si>
  <si>
    <t>DAVE FARR</t>
  </si>
  <si>
    <t>MARTIN BROUGHTON</t>
  </si>
  <si>
    <t>PAUL CURRIE</t>
  </si>
  <si>
    <t>Gabriel Lau</t>
  </si>
  <si>
    <t>DANIEL CLARK</t>
  </si>
  <si>
    <t>Telmo Ferreira</t>
  </si>
  <si>
    <t>ROBERT COOPER</t>
  </si>
  <si>
    <t>BEN MESSER</t>
  </si>
  <si>
    <t>DAN MARSHMAN</t>
  </si>
  <si>
    <t>NEIL SMITH</t>
  </si>
  <si>
    <t>DANNY BLACKMAN</t>
  </si>
  <si>
    <t>Peter Grindrod</t>
  </si>
  <si>
    <t>ROB O'HALLORAN</t>
  </si>
  <si>
    <t>NEIL DAVIDSON</t>
  </si>
  <si>
    <t>PHILIP GALE</t>
  </si>
  <si>
    <t>Shaun Webster</t>
  </si>
  <si>
    <t>ANDREW SIEVEWRIGHT</t>
  </si>
  <si>
    <t>ADAM STYLES</t>
  </si>
  <si>
    <t>JEFF YOUNG</t>
  </si>
  <si>
    <t>SIMON FIDDLER</t>
  </si>
  <si>
    <t>SIMON COPPARD</t>
  </si>
  <si>
    <t>PHIL WOOD</t>
  </si>
  <si>
    <t>ROBERT LIGHT</t>
  </si>
  <si>
    <t>DALE ANDERTON</t>
  </si>
  <si>
    <t>GUY BLACKDEN</t>
  </si>
  <si>
    <t>Paul McCleery</t>
  </si>
  <si>
    <t>JAMES COX</t>
  </si>
  <si>
    <t>Chris Doyle</t>
  </si>
  <si>
    <t>EDWARD DIPLOCK</t>
  </si>
  <si>
    <t>RUSSELL HEWLETT</t>
  </si>
  <si>
    <t>BOB COOK</t>
  </si>
  <si>
    <t>ANDY CLARK</t>
  </si>
  <si>
    <t>JAMES CARNEY</t>
  </si>
  <si>
    <t>TONY LAVENDER</t>
  </si>
  <si>
    <t>CARL STANGER</t>
  </si>
  <si>
    <t>ANDREW RUFFELL</t>
  </si>
  <si>
    <t>RICHARD BENN</t>
  </si>
  <si>
    <t>ASHLEY BOX</t>
  </si>
  <si>
    <t>SCOTT O'ROURKE</t>
  </si>
  <si>
    <t>STEVE THOMPSETT</t>
  </si>
  <si>
    <t>DEAN TAYLOR</t>
  </si>
  <si>
    <t>Tom Sanderson</t>
  </si>
  <si>
    <t>Robert Adams</t>
  </si>
  <si>
    <t>KEVIN PRICE</t>
  </si>
  <si>
    <t>RUSSELL BECKETT</t>
  </si>
  <si>
    <t>SIMON TREVENA</t>
  </si>
  <si>
    <t>KEVIN MOULDING</t>
  </si>
  <si>
    <t>Greg Anderson</t>
  </si>
  <si>
    <t>MARK BASSETT</t>
  </si>
  <si>
    <t>GARY LOUGHLIN</t>
  </si>
  <si>
    <t>Barry Angell</t>
  </si>
  <si>
    <t>MATTHEW HOMEWOOD</t>
  </si>
  <si>
    <t>RICHARD GREENWOOD</t>
  </si>
  <si>
    <t>MARTYN CRADDOCK</t>
  </si>
  <si>
    <t>ALAN MOREHEN</t>
  </si>
  <si>
    <t>PAUL CHEESEMAN</t>
  </si>
  <si>
    <t>WILL JOHNSTON</t>
  </si>
  <si>
    <t>ALI MARSHMAN</t>
  </si>
  <si>
    <t>BARRY ANDREWS</t>
  </si>
  <si>
    <t>IAN FOXALL</t>
  </si>
  <si>
    <t>DAVID STRINGER</t>
  </si>
  <si>
    <t>DAMIAN GIBBS</t>
  </si>
  <si>
    <t>M551</t>
  </si>
  <si>
    <t>M552</t>
  </si>
  <si>
    <t>M553</t>
  </si>
  <si>
    <t>CHRIS BRANDT</t>
  </si>
  <si>
    <t>SIMON CLARK</t>
  </si>
  <si>
    <t>GRAEME GRASS</t>
  </si>
  <si>
    <t>CLIVE DE VULDER</t>
  </si>
  <si>
    <t>ANDREW MOORE</t>
  </si>
  <si>
    <t>AUSTIN WARREN</t>
  </si>
  <si>
    <t>RICHARD GUEST</t>
  </si>
  <si>
    <t>MIKE ROBSON</t>
  </si>
  <si>
    <t>DOMINIC OSMAN-ALLU</t>
  </si>
  <si>
    <t>IAN KING</t>
  </si>
  <si>
    <t>NEIL MALTBY</t>
  </si>
  <si>
    <t>MAX EAGER</t>
  </si>
  <si>
    <t>SCOTT MUIR</t>
  </si>
  <si>
    <t>GRANT DOCKSEY</t>
  </si>
  <si>
    <t>RALPH JENNINGS</t>
  </si>
  <si>
    <t>ERNIE STODDART</t>
  </si>
  <si>
    <t>CHARLIE BRAMLY</t>
  </si>
  <si>
    <t>JONATHAN PICKWORTH</t>
  </si>
  <si>
    <t>DARREN EVANS</t>
  </si>
  <si>
    <t>DAVID HAYES</t>
  </si>
  <si>
    <t>DAVID PETTITT</t>
  </si>
  <si>
    <t>KEVIN SMITH</t>
  </si>
  <si>
    <t>CARL SYKES</t>
  </si>
  <si>
    <t>JIM ROWE</t>
  </si>
  <si>
    <t>Jay Goulden</t>
  </si>
  <si>
    <t>FRANCIS LEARY</t>
  </si>
  <si>
    <t>Barry Blackwell</t>
  </si>
  <si>
    <t>RON VAN HEUVELEN</t>
  </si>
  <si>
    <t>RUSSELL WHEATLEY</t>
  </si>
  <si>
    <t>RICHARD FOX</t>
  </si>
  <si>
    <t>IVAN HORSFAL TURNER</t>
  </si>
  <si>
    <t>MARK STOREY</t>
  </si>
  <si>
    <t>GARY CHOWN</t>
  </si>
  <si>
    <t>CHRIS ROBERTS</t>
  </si>
  <si>
    <t>Lee Turner</t>
  </si>
  <si>
    <t>BOB GEARING</t>
  </si>
  <si>
    <t>Kevin Morris</t>
  </si>
  <si>
    <t>John Tighe</t>
  </si>
  <si>
    <t>RUSSELL AITKENHEAD</t>
  </si>
  <si>
    <t>ANDY PERRIS</t>
  </si>
  <si>
    <t>GRAEME COX</t>
  </si>
  <si>
    <t>Kevin Perez</t>
  </si>
  <si>
    <t>Phil Naylor</t>
  </si>
  <si>
    <t>JONATHAN BURRELL</t>
  </si>
  <si>
    <t>M603</t>
  </si>
  <si>
    <t>TONY DUREY</t>
  </si>
  <si>
    <t>CHRIS RUSSELL</t>
  </si>
  <si>
    <t>STEVE BOLTON</t>
  </si>
  <si>
    <t>WILLIAM BLANFORD</t>
  </si>
  <si>
    <t>MARK CURRAH</t>
  </si>
  <si>
    <t>KEVIN HANCOCK</t>
  </si>
  <si>
    <t>Paul Charlton</t>
  </si>
  <si>
    <t>CHARLIE HEMPSTEAD</t>
  </si>
  <si>
    <t>PETER COOK</t>
  </si>
  <si>
    <t>Phil Grabsky</t>
  </si>
  <si>
    <t>JEREMY SANKEY</t>
  </si>
  <si>
    <t>DAVID MASKELL</t>
  </si>
  <si>
    <t>MARK STEPHENSON</t>
  </si>
  <si>
    <t>RICHARD RUDD</t>
  </si>
  <si>
    <t>KEVIN BATTELL</t>
  </si>
  <si>
    <t>Christopher Hooker</t>
  </si>
  <si>
    <t>MARK CHAPMAN</t>
  </si>
  <si>
    <t>JON RAPER</t>
  </si>
  <si>
    <t>MYLES WHITE</t>
  </si>
  <si>
    <t>MARK SMITH</t>
  </si>
  <si>
    <t>Peter Maddison</t>
  </si>
  <si>
    <t>SEAN DEXTER</t>
  </si>
  <si>
    <t>MARK ROBINSON</t>
  </si>
  <si>
    <t>JONATHAN MORRIS</t>
  </si>
  <si>
    <t>STUART ROBERTSON</t>
  </si>
  <si>
    <t>M651</t>
  </si>
  <si>
    <t>M652</t>
  </si>
  <si>
    <t>M653</t>
  </si>
  <si>
    <t>DAVID HURST</t>
  </si>
  <si>
    <t>ROGER STONE</t>
  </si>
  <si>
    <t>PAUL RAWLINSON</t>
  </si>
  <si>
    <t>TOBY WOLPE</t>
  </si>
  <si>
    <t>WILLIAM EDMONDSON</t>
  </si>
  <si>
    <t>SHAWN BUCK</t>
  </si>
  <si>
    <t>MALCOLM JONES</t>
  </si>
  <si>
    <t>Kevin Lowe</t>
  </si>
  <si>
    <t>BRIAN SLAUGHTER</t>
  </si>
  <si>
    <t>ALISTAIR HOWITT</t>
  </si>
  <si>
    <t>James Welbury</t>
  </si>
  <si>
    <t>M701</t>
  </si>
  <si>
    <t>M702</t>
  </si>
  <si>
    <t>M703</t>
  </si>
  <si>
    <t>PETER BURFOOT</t>
  </si>
  <si>
    <t>ALBERT KEMP</t>
  </si>
  <si>
    <t>BRIAN WINN</t>
  </si>
  <si>
    <t>BOB ARCHER</t>
  </si>
  <si>
    <t>ROBERTO PROIETTI</t>
  </si>
  <si>
    <t>DAVID OXBROW</t>
  </si>
  <si>
    <t>CumWomenFormulaTotal</t>
  </si>
  <si>
    <t>CumWomenFormulaLastRacePredictor</t>
  </si>
  <si>
    <t>CumWomenFormulaPosition</t>
  </si>
  <si>
    <t>ToFile9</t>
  </si>
  <si>
    <t>CumWomenEstMaxCol</t>
  </si>
  <si>
    <t>CumWomenLastCol</t>
  </si>
  <si>
    <t>CumWomenMakeFirstCol</t>
  </si>
  <si>
    <t>Senior Women</t>
  </si>
  <si>
    <t>GRACE BAKER</t>
  </si>
  <si>
    <t>LOUISE RYAN</t>
  </si>
  <si>
    <t>SF3</t>
  </si>
  <si>
    <t>LAURA ULANOWSKI</t>
  </si>
  <si>
    <t>HOLLY O'FLANAGAN</t>
  </si>
  <si>
    <t>AMY DUNN</t>
  </si>
  <si>
    <t>JO MABBITT</t>
  </si>
  <si>
    <t>ALISON MOORE</t>
  </si>
  <si>
    <t>RHIAN DAVIES</t>
  </si>
  <si>
    <t>JENNY ROWLINSON</t>
  </si>
  <si>
    <t>MADDIE MICHIE</t>
  </si>
  <si>
    <t>HAYLEY HARRIS</t>
  </si>
  <si>
    <t>ANNEKA REDLEY-COOK</t>
  </si>
  <si>
    <t>EMILIE MOFFAT</t>
  </si>
  <si>
    <t>HARRIET THOMPSON</t>
  </si>
  <si>
    <t>BEX STEVENS</t>
  </si>
  <si>
    <t>Carmen Ho</t>
  </si>
  <si>
    <t>Darja Knotkova-Hanley</t>
  </si>
  <si>
    <t>ROBYN LUMAS</t>
  </si>
  <si>
    <t>Alice Denning</t>
  </si>
  <si>
    <t>Hannah Jackson</t>
  </si>
  <si>
    <t>LAURA HOWLEY</t>
  </si>
  <si>
    <t>BECCI WALTER</t>
  </si>
  <si>
    <t>Aislinn Darvell</t>
  </si>
  <si>
    <t>RUBY HALL</t>
  </si>
  <si>
    <t>Izabela Drabek</t>
  </si>
  <si>
    <t>ROSIE BEALE</t>
  </si>
  <si>
    <t>Abbie Hills</t>
  </si>
  <si>
    <t>BRONWYN RYAN</t>
  </si>
  <si>
    <t>LIA THOMPSON</t>
  </si>
  <si>
    <t>SAMANTHA ROBERTS</t>
  </si>
  <si>
    <t>NICOLA MARSDEN</t>
  </si>
  <si>
    <t>F351</t>
  </si>
  <si>
    <t>F352</t>
  </si>
  <si>
    <t>F353</t>
  </si>
  <si>
    <t>KATY REED</t>
  </si>
  <si>
    <t>HEATHER STEVENS</t>
  </si>
  <si>
    <t>JENNY KATSONI</t>
  </si>
  <si>
    <t>SAMANTHA NEAME</t>
  </si>
  <si>
    <t>SARAH EDDIE</t>
  </si>
  <si>
    <t>ANNA TOLMACHOVA</t>
  </si>
  <si>
    <t>NICKY PYSDEN</t>
  </si>
  <si>
    <t>CONNIE GRIFFIN</t>
  </si>
  <si>
    <t>HANNAH DEUBERT-CHAPMAN</t>
  </si>
  <si>
    <t>VERITY WILDE</t>
  </si>
  <si>
    <t>KAT CHAMBERLINE</t>
  </si>
  <si>
    <t>LIANNE LEAKEY</t>
  </si>
  <si>
    <t>Helena Rooney</t>
  </si>
  <si>
    <t>CLAIRE LOCKWOOD</t>
  </si>
  <si>
    <t>SARA BAITUP</t>
  </si>
  <si>
    <t>PHILIPPA HUMAN</t>
  </si>
  <si>
    <t>EMILY MURRAY</t>
  </si>
  <si>
    <t>JOANNA CAIN</t>
  </si>
  <si>
    <t>KATIE MANLEY</t>
  </si>
  <si>
    <t>Lisa Buchanan</t>
  </si>
  <si>
    <t>ANNE BRANDENBURG</t>
  </si>
  <si>
    <t>ERICA MARTIN</t>
  </si>
  <si>
    <t>F403</t>
  </si>
  <si>
    <t>LIZZIE HILLIER</t>
  </si>
  <si>
    <t>MICHELLE POPE</t>
  </si>
  <si>
    <t>LEANNE GAMMON</t>
  </si>
  <si>
    <t>HAZEL AKEHURST</t>
  </si>
  <si>
    <t>LINDSEY SANDERS</t>
  </si>
  <si>
    <t>LAURA GILL</t>
  </si>
  <si>
    <t>ELIZABETH BROOKES</t>
  </si>
  <si>
    <t>LENNY BUXTON</t>
  </si>
  <si>
    <t>SALLY GREEN</t>
  </si>
  <si>
    <t>RACHEL WIGMORE</t>
  </si>
  <si>
    <t>EMMA ROLLINGS</t>
  </si>
  <si>
    <t>NADINE REYNOLDS</t>
  </si>
  <si>
    <t>SARA DALY</t>
  </si>
  <si>
    <t>Lorna Watts</t>
  </si>
  <si>
    <t>ROISIN ARCHER</t>
  </si>
  <si>
    <t>JESSICA BEAKE</t>
  </si>
  <si>
    <t>LAURA GROVE</t>
  </si>
  <si>
    <t>Emily Russell</t>
  </si>
  <si>
    <t>RHIANNE SARNA</t>
  </si>
  <si>
    <t>SAMANTHA CROMPTON</t>
  </si>
  <si>
    <t>CAROLINE HOLLANDS</t>
  </si>
  <si>
    <t>GEMMA WILLIAMS</t>
  </si>
  <si>
    <t>DONNA FOSTER</t>
  </si>
  <si>
    <t>F451</t>
  </si>
  <si>
    <t>F452</t>
  </si>
  <si>
    <t>F453</t>
  </si>
  <si>
    <t>LYDIA ALLITT</t>
  </si>
  <si>
    <t>TARA JOHNSON</t>
  </si>
  <si>
    <t>PATRYCJA WOLLNIK</t>
  </si>
  <si>
    <t>JAQUELINE HUNT</t>
  </si>
  <si>
    <t>HELEN O'SULLIVAN</t>
  </si>
  <si>
    <t>MARIA SMITH</t>
  </si>
  <si>
    <t>MICHELLE HART</t>
  </si>
  <si>
    <t>NICKY DEACY</t>
  </si>
  <si>
    <t>JACKI ADAMS</t>
  </si>
  <si>
    <t>KATHRINE SIMMONS</t>
  </si>
  <si>
    <t>WAN SZE WALBRIDGE</t>
  </si>
  <si>
    <t>JOANNA SWAP</t>
  </si>
  <si>
    <t>WENDY ROBSON</t>
  </si>
  <si>
    <t>JULIA JONES</t>
  </si>
  <si>
    <t>STEPH BASSETT</t>
  </si>
  <si>
    <t>EILEEN WELCH</t>
  </si>
  <si>
    <t>Sue Collett</t>
  </si>
  <si>
    <t>BENITA ESTEVEZ</t>
  </si>
  <si>
    <t>KIRSTIE GROVES</t>
  </si>
  <si>
    <t>CHRISSY HIGGINS</t>
  </si>
  <si>
    <t>KIRSTEN MCTEER</t>
  </si>
  <si>
    <t>SONNII PINE</t>
  </si>
  <si>
    <t>Marie Appleton</t>
  </si>
  <si>
    <t>SUZANNE LANGDON</t>
  </si>
  <si>
    <t>Kelly Trebell</t>
  </si>
  <si>
    <t>JO SAXBY</t>
  </si>
  <si>
    <t>JULIE GREGORY</t>
  </si>
  <si>
    <t>ELEANOR WILKES</t>
  </si>
  <si>
    <t>LISA CHUDASAMA</t>
  </si>
  <si>
    <t>ANNE LOZAC'H</t>
  </si>
  <si>
    <t>EMMA BUSSEY</t>
  </si>
  <si>
    <t>JULIE LOVELL</t>
  </si>
  <si>
    <t>LOUISE WILLIAMS</t>
  </si>
  <si>
    <t>JO BIRKMYRE</t>
  </si>
  <si>
    <t>LAURA WARD</t>
  </si>
  <si>
    <t>JULIE LEWIS-CLEMENTS</t>
  </si>
  <si>
    <t>HAYLEY FOSTER</t>
  </si>
  <si>
    <t>Naomi Pearson</t>
  </si>
  <si>
    <t>F503</t>
  </si>
  <si>
    <t>GILL WHEELER</t>
  </si>
  <si>
    <t>TRACY ERRIDGE</t>
  </si>
  <si>
    <t>CLAIRE STYLES</t>
  </si>
  <si>
    <t>FRAN HAMILTON</t>
  </si>
  <si>
    <t>JULIET FINE</t>
  </si>
  <si>
    <t>AMANDA LINK</t>
  </si>
  <si>
    <t>JOJO SMITH</t>
  </si>
  <si>
    <t>JANIE PERRY</t>
  </si>
  <si>
    <t>ZOE HITCHCOCK</t>
  </si>
  <si>
    <t>SAMANTHA ALVAREZ</t>
  </si>
  <si>
    <t>NICOLE HENZE</t>
  </si>
  <si>
    <t>FELICITY WILLIAMS</t>
  </si>
  <si>
    <t>MARIE BOLTON</t>
  </si>
  <si>
    <t>JULES FRASER</t>
  </si>
  <si>
    <t>EMILY GIBSON</t>
  </si>
  <si>
    <t>CLAIRE HOPE</t>
  </si>
  <si>
    <t>AMANDA TONDEUR</t>
  </si>
  <si>
    <t>MICHAELA STRINGER</t>
  </si>
  <si>
    <t>ANNABEL PRESTON</t>
  </si>
  <si>
    <t>LOUISE ELLIS</t>
  </si>
  <si>
    <t>ROSALIND THOMSON</t>
  </si>
  <si>
    <t>JOHANNA BORDASS</t>
  </si>
  <si>
    <t>Monica Matseke</t>
  </si>
  <si>
    <t>Fiona Patten</t>
  </si>
  <si>
    <t>JANE LOCKEYEAR</t>
  </si>
  <si>
    <t>LARISSA O'HALLORAN</t>
  </si>
  <si>
    <t>CAROLINE O'SULLIVAN</t>
  </si>
  <si>
    <t>EMMA BRIGGS</t>
  </si>
  <si>
    <t>Sarah Smith</t>
  </si>
  <si>
    <t>MANDIE HENDERSON</t>
  </si>
  <si>
    <t>KERRY KIPLING</t>
  </si>
  <si>
    <t>EMMA JONES</t>
  </si>
  <si>
    <t>SUE WILKINSON</t>
  </si>
  <si>
    <t>Emma Gardner</t>
  </si>
  <si>
    <t>VICTORIA GIBBS</t>
  </si>
  <si>
    <t>F551</t>
  </si>
  <si>
    <t>HELEN SIDA</t>
  </si>
  <si>
    <t>F552</t>
  </si>
  <si>
    <t>F553</t>
  </si>
  <si>
    <t>Helen Bowman</t>
  </si>
  <si>
    <t>MELANIE IRWIN</t>
  </si>
  <si>
    <t>RIZ MASLEN</t>
  </si>
  <si>
    <t>SHIRLEY LIGHT</t>
  </si>
  <si>
    <t>JANE COLES</t>
  </si>
  <si>
    <t>LINDSAY TEARLE</t>
  </si>
  <si>
    <t>FIONA BANFIELD</t>
  </si>
  <si>
    <t>BRIONI ALLCORN</t>
  </si>
  <si>
    <t>JULIE DEAKIN</t>
  </si>
  <si>
    <t>CAROLINE CURTIS</t>
  </si>
  <si>
    <t>JULIE ERXLEBEN</t>
  </si>
  <si>
    <t>KATHRYN WILLIAMS</t>
  </si>
  <si>
    <t>LORRAINE DIPLOCK</t>
  </si>
  <si>
    <t>NICOLE DYSON</t>
  </si>
  <si>
    <t>JACKIE TURNER</t>
  </si>
  <si>
    <t>MAUREEN COMBEN</t>
  </si>
  <si>
    <t>SANDRA SPEERS</t>
  </si>
  <si>
    <t>FENELLA MALONEY</t>
  </si>
  <si>
    <t>JACKY WHITE</t>
  </si>
  <si>
    <t>JAYNE MEYERS</t>
  </si>
  <si>
    <t>CAROLINE EDMUNDS</t>
  </si>
  <si>
    <t>CAROLINE WOOD</t>
  </si>
  <si>
    <t>F603</t>
  </si>
  <si>
    <t>SUE BRUMWELL</t>
  </si>
  <si>
    <t>FLEUR BLANFORD</t>
  </si>
  <si>
    <t>BRIGID BURNHAM</t>
  </si>
  <si>
    <t>ROS ADDISON</t>
  </si>
  <si>
    <t>JAN YOUNG</t>
  </si>
  <si>
    <t>Julie Chicken</t>
  </si>
  <si>
    <t>SARAH HILLIARD</t>
  </si>
  <si>
    <t>SARAH MORRIS (HRR)</t>
  </si>
  <si>
    <t>CHRISTINE TAIT</t>
  </si>
  <si>
    <t>Susan Rae</t>
  </si>
  <si>
    <t>JANE LAMBERT</t>
  </si>
  <si>
    <t>KARIN DIVALL</t>
  </si>
  <si>
    <t>Jacqueline Patton</t>
  </si>
  <si>
    <t>PERI CHEAL</t>
  </si>
  <si>
    <t>MARIA STANFORD</t>
  </si>
  <si>
    <t>GILLY NICKOLS</t>
  </si>
  <si>
    <t>FRANCES BURNHAM</t>
  </si>
  <si>
    <t>Anne Steinacher</t>
  </si>
  <si>
    <t>TRACEY ROBINSON</t>
  </si>
  <si>
    <t>CATHY MILES</t>
  </si>
  <si>
    <t>CHRIS SAGE</t>
  </si>
  <si>
    <t>F651</t>
  </si>
  <si>
    <t>F652</t>
  </si>
  <si>
    <t>F653</t>
  </si>
  <si>
    <t>CHRIS NAYLOR</t>
  </si>
  <si>
    <t>MARY NIGHTINGALE</t>
  </si>
  <si>
    <t>ANNE ANSCOMB</t>
  </si>
  <si>
    <t>CATHY GILLING</t>
  </si>
  <si>
    <t>JUDITH CARDER</t>
  </si>
  <si>
    <t>YVONNE PATRICK</t>
  </si>
  <si>
    <t>BEVERLY SHERIDAN</t>
  </si>
  <si>
    <t>F701</t>
  </si>
  <si>
    <t>F702</t>
  </si>
  <si>
    <t>F703</t>
  </si>
  <si>
    <t>SARAH MARZAIOLI</t>
  </si>
  <si>
    <t>HELEN NEARY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</si>
  <si>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</si>
  <si>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</si>
  <si>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</si>
  <si>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</si>
  <si>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</si>
  <si>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</si>
  <si>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</si>
  <si>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</si>
  <si>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</si>
  <si>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</si>
  <si>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</si>
  <si>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</si>
  <si>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</si>
  <si>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</si>
  <si>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</si>
  <si>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</si>
  <si>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 xml:space="preserve">Weighted score calc: list highest to lowest </t>
  </si>
  <si>
    <t>Weighted Score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</si>
  <si>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</si>
  <si>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</si>
  <si>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</si>
  <si>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</si>
  <si>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</si>
  <si>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</si>
  <si>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Blackcap: 18-February-2024 </t>
  </si>
  <si>
    <t>Race 4 of 5</t>
  </si>
  <si>
    <t>ALL CLUBS: 17 TEAMS (note awards are based on table excluding non East Sussex Clubs)</t>
  </si>
  <si>
    <t>EAST SUSSEX CLUBS: 15 TEAMS (Only East Sussex Teams qualify for awards: awards are awarded as per this table)</t>
  </si>
  <si>
    <t>N/A</t>
  </si>
  <si>
    <t>Source rows Men</t>
  </si>
  <si>
    <t>Start Row men</t>
  </si>
  <si>
    <t>Source Rows Ladies</t>
  </si>
  <si>
    <t>Start Row Ladies</t>
  </si>
  <si>
    <t>per adjd col</t>
  </si>
  <si>
    <t>AWARDS: SENIORS</t>
  </si>
  <si>
    <t>Number of scoring races/Min no of races</t>
  </si>
  <si>
    <t>No of runners final race</t>
  </si>
  <si>
    <t>AwardsSeniorPreRacePrediction</t>
  </si>
  <si>
    <t xml:space="preserve">Results at time of presentation to check nothing changes from final notifications </t>
  </si>
  <si>
    <t>Ref Col</t>
  </si>
  <si>
    <t>Name</t>
  </si>
  <si>
    <t>Points</t>
  </si>
  <si>
    <t>No of races</t>
  </si>
  <si>
    <t>Flag: incl joint position</t>
  </si>
  <si>
    <t>Sufficient races</t>
  </si>
  <si>
    <t>Agree to prediction</t>
  </si>
  <si>
    <t>Possibles present not finished s/be 0</t>
  </si>
  <si>
    <t>First query: row</t>
  </si>
  <si>
    <t>First query: name</t>
  </si>
  <si>
    <t>First Query Club</t>
  </si>
  <si>
    <t>Prediction Match count 
s/be 1</t>
  </si>
  <si>
    <t>Clear enter 1</t>
  </si>
  <si>
    <t>Clear comment</t>
  </si>
  <si>
    <t>Adjs check</t>
  </si>
  <si>
    <t>Actual Movement</t>
  </si>
  <si>
    <t>Flag &gt; predict</t>
  </si>
  <si>
    <t>Score final race</t>
  </si>
  <si>
    <t>Max points up to prev race</t>
  </si>
  <si>
    <t>Points pre final race</t>
  </si>
  <si>
    <t>No of races incl last race</t>
  </si>
  <si>
    <t>Change from pre race TRUE = SAME</t>
  </si>
  <si>
    <t>Prev race positions</t>
  </si>
  <si>
    <t>Pre race final race possibles</t>
  </si>
  <si>
    <t>LAST YEAR</t>
  </si>
  <si>
    <t>MEN OVERALL (NO AWARD FOR INFO ONLY)</t>
  </si>
  <si>
    <t>Patrick Marsden</t>
  </si>
  <si>
    <t>Ricky Coleman</t>
  </si>
  <si>
    <t>Paul Howard</t>
  </si>
  <si>
    <t>SENIOR MAN</t>
  </si>
  <si>
    <t>Jamie Kingdon</t>
  </si>
  <si>
    <t>SEAN PARKER-HARDING, Ben McCallion, GEORGE STEWART</t>
  </si>
  <si>
    <t>George Stewart</t>
  </si>
  <si>
    <t>MALE 35</t>
  </si>
  <si>
    <t>WILL WITHECOMBE, STEVE GATES</t>
  </si>
  <si>
    <t>WILL WITHECOMBE, JACK HUTCHINSON, STUART PIPER, STUART PELLING, STEVE GATES, CHRIS COFFEY</t>
  </si>
  <si>
    <t>Peter  Woodward</t>
  </si>
  <si>
    <t>JACK HUTCHINSON, STUART PIPER, STUART PELLING, STEVE GATES, CHRIS COFFEY</t>
  </si>
  <si>
    <t>Will Withecombe</t>
  </si>
  <si>
    <t>MALE 40</t>
  </si>
  <si>
    <t>PAUL HOWARD, GRAEME MCINTOSH</t>
  </si>
  <si>
    <t>Graeme Mcintosh</t>
  </si>
  <si>
    <t>Colin Tricker</t>
  </si>
  <si>
    <t>MALE 45</t>
  </si>
  <si>
    <t>OLIVER BLAYDEN, TEO VAN WELL, NEIL COUCHMAN</t>
  </si>
  <si>
    <t>Dean Taylor</t>
  </si>
  <si>
    <t>OLIVER BLAYDEN, CARL BARTON, TEO VAN WELL, NEIL COUCHMAN</t>
  </si>
  <si>
    <t>Jonathan Rafferty</t>
  </si>
  <si>
    <t>OLIVER BLAYDEN, CARL BARTON, GARY WOOLVEN, TEO VAN WELL, NEIL COUCHMAN</t>
  </si>
  <si>
    <t>Gordon Berry</t>
  </si>
  <si>
    <t>MALE 50</t>
  </si>
  <si>
    <t>RICHARD DOCWRA, JEFF PYRAH</t>
  </si>
  <si>
    <t>James Cox</t>
  </si>
  <si>
    <t>RICHARD DOCWRA, NIGEL JEWELL, JEFF PYRAH, JAMES COX</t>
  </si>
  <si>
    <t>Matthew Windham</t>
  </si>
  <si>
    <t>NIGEL JEWELL, JAMES MARRON, ADAM STYLES, JEFF YOUNG, JEFF PYRAH, JAMES COX</t>
  </si>
  <si>
    <t>Richard Docwra</t>
  </si>
  <si>
    <t>MALE 55</t>
  </si>
  <si>
    <t>Stewart Gregory</t>
  </si>
  <si>
    <t>COLIN BENNETT, DARREN BARZEE</t>
  </si>
  <si>
    <t>Jonathan Burrell</t>
  </si>
  <si>
    <t>Chris Brandt</t>
  </si>
  <si>
    <t>MALE 60</t>
  </si>
  <si>
    <t>Dave  Dunstall</t>
  </si>
  <si>
    <t>MARTIN NOAKES, DAVE DUNSTALL</t>
  </si>
  <si>
    <t xml:space="preserve">Steve Bolton  </t>
  </si>
  <si>
    <t>Kevin Blowers</t>
  </si>
  <si>
    <t>MALE 65</t>
  </si>
  <si>
    <t>David Prince-Iles</t>
  </si>
  <si>
    <t>NEIL THOMAS, MICHAEL MILLER, LAURENCE SAVA, MIKE THOMPSON, GERARD DUMMETT</t>
  </si>
  <si>
    <t>Bryan Tapsell</t>
  </si>
  <si>
    <t xml:space="preserve">Mike Thompson </t>
  </si>
  <si>
    <t>MALE 70</t>
  </si>
  <si>
    <t>PETER KENNEDY, BOB HUGHES, FRANK BRENNAN</t>
  </si>
  <si>
    <t>Peter Kennedy</t>
  </si>
  <si>
    <t>Bob Hughes</t>
  </si>
  <si>
    <t>Peter Weeks</t>
  </si>
  <si>
    <t>Female</t>
  </si>
  <si>
    <t>FEMALE OVERALL (NO AWARD FOR INFO ONLY)</t>
  </si>
  <si>
    <t>Grace Baker</t>
  </si>
  <si>
    <t>Alison Moore</t>
  </si>
  <si>
    <t>Kirsty Mcdermott</t>
  </si>
  <si>
    <t>SENIOR LADY</t>
  </si>
  <si>
    <t>LOUISE RYAN, ALISON MOORE</t>
  </si>
  <si>
    <t>FEMALE 35</t>
  </si>
  <si>
    <t>FEMALE 40</t>
  </si>
  <si>
    <t>Jenna Levett</t>
  </si>
  <si>
    <t>Laura Gill</t>
  </si>
  <si>
    <t>Anna Tolmachova</t>
  </si>
  <si>
    <t>ERICA MARTIN, LAURA GILL</t>
  </si>
  <si>
    <t>Amy Rodway</t>
  </si>
  <si>
    <t>ERICA MARTIN, SALLY NORRIS, LAURA GILL</t>
  </si>
  <si>
    <t>Emma Murphy</t>
  </si>
  <si>
    <t>SALLY NORRIS, CHARLIE LONG, KATHERINE MCCORRY, LAURA GILL</t>
  </si>
  <si>
    <t>Vicki Whitehorn</t>
  </si>
  <si>
    <t>FEMALE 45</t>
  </si>
  <si>
    <t>Johanna Dowle</t>
  </si>
  <si>
    <t>LYDIA ALLITT, ANDREA HARWOOD, HELEN O'SULLIVAN, MARIA SMITH</t>
  </si>
  <si>
    <t>Helen  O 'Sullivan</t>
  </si>
  <si>
    <t>LYDIA ALLITT, TARA JOHNSON, ANDREA HARWOOD, HELEN O'SULLIVAN, MARIA SMITH, NICKY DEACY</t>
  </si>
  <si>
    <t>Gill Wheeler</t>
  </si>
  <si>
    <t>FEMALE 50</t>
  </si>
  <si>
    <t>IMOGEN BURMAN-MITCHELL, MARINA DAVIES, GILL WHEELER</t>
  </si>
  <si>
    <t>Sue Fry</t>
  </si>
  <si>
    <t>Natalie Dawson</t>
  </si>
  <si>
    <t>Imogen Burman-Mitchell</t>
  </si>
  <si>
    <t>FEMALE 55</t>
  </si>
  <si>
    <t>Geraldine Moffat</t>
  </si>
  <si>
    <t>Caroline Wood</t>
  </si>
  <si>
    <t>low turnout higher score</t>
  </si>
  <si>
    <t>Helen Bowman, MELANIE IRWIN, RIZ MASLEN</t>
  </si>
  <si>
    <t>Helen Sida</t>
  </si>
  <si>
    <t>FEMALE 60</t>
  </si>
  <si>
    <t>Sarah Morris</t>
  </si>
  <si>
    <t>Jenny Hughes</t>
  </si>
  <si>
    <t>JULIE TREMLIN, SUE BRUMWELL</t>
  </si>
  <si>
    <t>Karin  Divall</t>
  </si>
  <si>
    <t>FEMALE 65</t>
  </si>
  <si>
    <t>Judith Carder</t>
  </si>
  <si>
    <t>higher final score for winner</t>
  </si>
  <si>
    <t>MARY NIGHTINGALE, ROS DAINTREE</t>
  </si>
  <si>
    <t>Mary Austin-Olsen</t>
  </si>
  <si>
    <t>MARY NIGHTINGALE, ROS DAINTREE, TRISH AUDIS, ANNE ANSCOMB</t>
  </si>
  <si>
    <t>Trish Audis</t>
  </si>
  <si>
    <t>FEMALE 70</t>
  </si>
  <si>
    <t>Sarah Marzaioli</t>
  </si>
  <si>
    <t>SARAH MARZAIOLI, VAL BROCKWELL</t>
  </si>
  <si>
    <t>Val  Brockwell</t>
  </si>
  <si>
    <t>Sylvia Huggett</t>
  </si>
  <si>
    <t>TEAM</t>
  </si>
  <si>
    <t>Joint</t>
  </si>
  <si>
    <t>Note 1: only Runners who are members of an East Susex participating club can qualify for an individual awards.</t>
  </si>
  <si>
    <t xml:space="preserve">However the results for all participating clubs are shown on the cumulative results sheet.  </t>
  </si>
  <si>
    <t xml:space="preserve">Note 2: only participating East Sussex Clubs can qualify for team awards.  However the results for all club  </t>
  </si>
  <si>
    <t xml:space="preserve">are shown on the All Teams results sheet </t>
  </si>
  <si>
    <t>Note 4: where two runners or two clubs for the team awards score the same points position if determined by count back</t>
  </si>
  <si>
    <t xml:space="preserve"> highest to lowest qualifying score </t>
  </si>
  <si>
    <t>So if runner A's highest point score is higher then runner b then runner A is first, if they have the same highest score</t>
  </si>
  <si>
    <t xml:space="preserve">comparison in made for the second score etc.  Should all points match for the scoring races then they will be marked as  </t>
  </si>
  <si>
    <t xml:space="preserve">joint for that position: an award will be given to both runners: however at the awards presentation </t>
  </si>
  <si>
    <t xml:space="preserve">we will only have one award so an additional awards will be provided later. </t>
  </si>
  <si>
    <t xml:space="preserve">Please note that account is only taken of scoring races: we do not look at total points across all races run. </t>
  </si>
  <si>
    <t>ResultsJuniorBlock</t>
  </si>
  <si>
    <t>Race no</t>
  </si>
  <si>
    <t>ResultsJuniorBlock2</t>
  </si>
  <si>
    <t>U11B</t>
  </si>
  <si>
    <t>CHARLIE WORKMAN</t>
  </si>
  <si>
    <t>FINLEY DREW</t>
  </si>
  <si>
    <t>Michael Mansell</t>
  </si>
  <si>
    <t>Evan Risdale</t>
  </si>
  <si>
    <t>-</t>
  </si>
  <si>
    <t>SAM BUCKWELL</t>
  </si>
  <si>
    <t>MAX NOON</t>
  </si>
  <si>
    <t>ALFIE IRWIN</t>
  </si>
  <si>
    <t>ZAK BRYANT</t>
  </si>
  <si>
    <t>U11G</t>
  </si>
  <si>
    <t>Neva Loseby-Brown</t>
  </si>
  <si>
    <t>MOLLY ABBOT</t>
  </si>
  <si>
    <t>Orla Collinson</t>
  </si>
  <si>
    <t>BELLA TAYLOR</t>
  </si>
  <si>
    <t>JESSICA WILSON</t>
  </si>
  <si>
    <t>LOTTIE DRAKE</t>
  </si>
  <si>
    <t>Charlotte Howard</t>
  </si>
  <si>
    <t>Theo Morton</t>
  </si>
  <si>
    <t>FREYA DYTON</t>
  </si>
  <si>
    <t>Martha Gofton</t>
  </si>
  <si>
    <t>Tilly McIntyre</t>
  </si>
  <si>
    <t>Poppy Croucher</t>
  </si>
  <si>
    <t>ELSIE HARMER</t>
  </si>
  <si>
    <t>Olivia Horne</t>
  </si>
  <si>
    <t>U13B</t>
  </si>
  <si>
    <t>BYRON ROBERTS</t>
  </si>
  <si>
    <t>Archie Franklin</t>
  </si>
  <si>
    <t>COBEY BUCKLEY</t>
  </si>
  <si>
    <t>CALEB BUCKLEY</t>
  </si>
  <si>
    <t>Cassidy Jasper</t>
  </si>
  <si>
    <t>Isaac Collinson</t>
  </si>
  <si>
    <t>Hal Blaydon</t>
  </si>
  <si>
    <t>U13G</t>
  </si>
  <si>
    <t>MARCY PAGE</t>
  </si>
  <si>
    <t>Isobel Docwra</t>
  </si>
  <si>
    <t>Chyna Wai</t>
  </si>
  <si>
    <t>KSENIA MCCRAE</t>
  </si>
  <si>
    <t>ELLEN GATES</t>
  </si>
  <si>
    <t>Indie Horseman</t>
  </si>
  <si>
    <t>Sophia Harper</t>
  </si>
  <si>
    <t>U15B</t>
  </si>
  <si>
    <t>CONNOR LYNCH</t>
  </si>
  <si>
    <t>JACOB SMITH</t>
  </si>
  <si>
    <t>RAFAEL SERRANO</t>
  </si>
  <si>
    <t>Archie Hatch</t>
  </si>
  <si>
    <t>U15G</t>
  </si>
  <si>
    <t>Megan Hopkins-Parry</t>
  </si>
  <si>
    <t>Isla Horseman</t>
  </si>
  <si>
    <t>ROSIE FERGUSON</t>
  </si>
  <si>
    <t>Chae Wai</t>
  </si>
  <si>
    <t>BETH WILSON</t>
  </si>
  <si>
    <t>DEMELZA MCCRAE</t>
  </si>
  <si>
    <t>HONOR CASSLETON-ELLIOT</t>
  </si>
  <si>
    <t>ANNA IVALDI</t>
  </si>
  <si>
    <t>U17G</t>
  </si>
  <si>
    <t>TIGGY COOPER</t>
  </si>
  <si>
    <t>CumJuniorFormulaTotal</t>
  </si>
  <si>
    <t>CumJuniorFormulaLastRacePredictor</t>
  </si>
  <si>
    <t>CumJuniorPositionCol</t>
  </si>
  <si>
    <t>ToFile10</t>
  </si>
  <si>
    <t>CumJuniorFirstAnalCol</t>
  </si>
  <si>
    <t>CumJuniorLastAnalCol</t>
  </si>
  <si>
    <t>CumJuniorFormulaPosition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</si>
  <si>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</si>
  <si>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</si>
  <si>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</si>
  <si>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</si>
  <si>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</si>
  <si>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</si>
  <si>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</si>
  <si>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HENRY GAULD</t>
  </si>
  <si>
    <t>CHARLIE WOODWARD</t>
  </si>
  <si>
    <t>Alfie Evans</t>
  </si>
  <si>
    <t>GEORGE RITCHIE</t>
  </si>
  <si>
    <t>Henry Sully</t>
  </si>
  <si>
    <t>ROWAN MCTEER</t>
  </si>
  <si>
    <t>Ben Sims</t>
  </si>
  <si>
    <t>CHARLIE IRWIN</t>
  </si>
  <si>
    <t>BRADLEY BROWN</t>
  </si>
  <si>
    <t>BEN LYNCH</t>
  </si>
  <si>
    <t>Oscar Giles</t>
  </si>
  <si>
    <t>Sullivan Mansbridge</t>
  </si>
  <si>
    <t>U11G1</t>
  </si>
  <si>
    <t>U11G2</t>
  </si>
  <si>
    <t>U11G3</t>
  </si>
  <si>
    <t>NANCY CASSIDY</t>
  </si>
  <si>
    <t>EVA HARWOOD</t>
  </si>
  <si>
    <t>KITTY ROSE WINTON</t>
  </si>
  <si>
    <t>Evelyn Cornford</t>
  </si>
  <si>
    <t>MILEY WIGMORE</t>
  </si>
  <si>
    <t>Ivy Buchanan</t>
  </si>
  <si>
    <t>Tamsin Bennett</t>
  </si>
  <si>
    <t>MIA PICCO</t>
  </si>
  <si>
    <t>AMELIE HUTTON</t>
  </si>
  <si>
    <t>POPPY CHARLWOOD</t>
  </si>
  <si>
    <t>Lucy Pollard</t>
  </si>
  <si>
    <t>ISSY MORGAN</t>
  </si>
  <si>
    <t>Lottie Goodman</t>
  </si>
  <si>
    <t>HARRIET HARDIE</t>
  </si>
  <si>
    <t>U13B1</t>
  </si>
  <si>
    <t>U13B2</t>
  </si>
  <si>
    <t>U13B3</t>
  </si>
  <si>
    <t>BURTIE WOODWARD</t>
  </si>
  <si>
    <t>FOX ANDREWS</t>
  </si>
  <si>
    <t>WILLIAM DEAN</t>
  </si>
  <si>
    <t>BERTIE ROBINSON</t>
  </si>
  <si>
    <t>CHARLIE HARRIS</t>
  </si>
  <si>
    <t>Xavi Bray</t>
  </si>
  <si>
    <t>U13G1</t>
  </si>
  <si>
    <t>U13G2</t>
  </si>
  <si>
    <t>U13G3</t>
  </si>
  <si>
    <t>ELIZABETH STEWART</t>
  </si>
  <si>
    <t>AMELIA BROWN</t>
  </si>
  <si>
    <t>Alyssa Cornford</t>
  </si>
  <si>
    <t>GRACE LUFORD- BROWN</t>
  </si>
  <si>
    <t>FLORENCE CONDON-ROGERS</t>
  </si>
  <si>
    <t>GEORGIA LENNARD</t>
  </si>
  <si>
    <t>LUCIENNE SIMKISS-DAY</t>
  </si>
  <si>
    <t>Daisy Bowles</t>
  </si>
  <si>
    <t>Scarlett Turner</t>
  </si>
  <si>
    <t>Martha Mansbridge</t>
  </si>
  <si>
    <t>Amie Coppins</t>
  </si>
  <si>
    <t>U15B1</t>
  </si>
  <si>
    <t>U15B2</t>
  </si>
  <si>
    <t>U15B3</t>
  </si>
  <si>
    <t>HARRY COOPER</t>
  </si>
  <si>
    <t>HECTOR SWEETING</t>
  </si>
  <si>
    <t>George Armstrong-Smith</t>
  </si>
  <si>
    <t>TOM CHAFFIN</t>
  </si>
  <si>
    <t>LUCA PICCO</t>
  </si>
  <si>
    <t>ALASTAIR MCTEER</t>
  </si>
  <si>
    <t>WILLIAM HEASMAN</t>
  </si>
  <si>
    <t>U15G1</t>
  </si>
  <si>
    <t>U15G2</t>
  </si>
  <si>
    <t>U15G3</t>
  </si>
  <si>
    <t>GRACE ALLITT</t>
  </si>
  <si>
    <t>Sophie Sims</t>
  </si>
  <si>
    <t>SAFIA BECKETT</t>
  </si>
  <si>
    <t>U17B</t>
  </si>
  <si>
    <t>Alfie Johnson</t>
  </si>
  <si>
    <t>U17B1</t>
  </si>
  <si>
    <t>U17B2</t>
  </si>
  <si>
    <t>Dermot O'Rourke</t>
  </si>
  <si>
    <t>U17G1</t>
  </si>
  <si>
    <t>Amelia Parsons</t>
  </si>
  <si>
    <t>U17G2</t>
  </si>
  <si>
    <t>Source rows Junior</t>
  </si>
  <si>
    <t>Start Row Junior</t>
  </si>
  <si>
    <t>AWARDS: JUNIORS</t>
  </si>
  <si>
    <t>AwardsJniorPreRacePrediction</t>
  </si>
  <si>
    <t>Flag: incl joint position, 1st E Sx</t>
  </si>
  <si>
    <t>Participating E sussex club</t>
  </si>
  <si>
    <t>First E Sussex flag</t>
  </si>
  <si>
    <t>Possibles present not finished</t>
  </si>
  <si>
    <t>Match count</t>
  </si>
  <si>
    <t>Movement</t>
  </si>
  <si>
    <t>Change from pre race: TRUE = SAME</t>
  </si>
  <si>
    <t>UNDER 11 BOYS</t>
  </si>
  <si>
    <t>Evan Risdale, CHARLIE WORKMAN</t>
  </si>
  <si>
    <t>Oliver Goodman</t>
  </si>
  <si>
    <t>Evan Risdale, SAM BUCKWELL, Michael Mansell, FINLEY DREW, CHARLIE WORKMAN</t>
  </si>
  <si>
    <t>William Hampshire</t>
  </si>
  <si>
    <t>SAM BUCKWELL, Michael Mansell, FINLEY DREW, CHARLIE WORKMAN</t>
  </si>
  <si>
    <t>Cobey Buckley</t>
  </si>
  <si>
    <t>UNDER 11 GIRLS</t>
  </si>
  <si>
    <t>Neva Loseby-Brown, Charlotte Howard</t>
  </si>
  <si>
    <t>Frankie Prime</t>
  </si>
  <si>
    <t>Ksenia Mccrae had been missed off finish: discused with Brian Win and Roer Stone Eva to keep trophy and will get new trophy</t>
  </si>
  <si>
    <t>Neva Loseby-Brown, JESSICA WILSON, MOLLY ABBOT, Charlotte Howard</t>
  </si>
  <si>
    <t>Eva Harwood</t>
  </si>
  <si>
    <t>JESSICA WILSON, MOLLY ABBOT, BELLA TAYLOR, LOTTIE DRAKE, Charlotte Howard</t>
  </si>
  <si>
    <t>Rebecca Seymour</t>
  </si>
  <si>
    <t>UNDER 13 BOYS</t>
  </si>
  <si>
    <t>Fin Lumber- Fry</t>
  </si>
  <si>
    <t>Archie Franklin, COBEY BUCKLEY</t>
  </si>
  <si>
    <t>Luke Draper</t>
  </si>
  <si>
    <t>Jacob Smith</t>
  </si>
  <si>
    <t>UNDER 13 GIRLS</t>
  </si>
  <si>
    <t>Chyna Wai, MARCY PAGE, Isobel Docwra</t>
  </si>
  <si>
    <t>Delilah Coppard</t>
  </si>
  <si>
    <t>Emily Carden</t>
  </si>
  <si>
    <t>Chyna Wai, MARCY PAGE, ELLEN GATES, KSENIA MCCRAE, Isobel Docwra</t>
  </si>
  <si>
    <t>Ella Smith</t>
  </si>
  <si>
    <t>UNDER 15 BOYS</t>
  </si>
  <si>
    <t>Finlay Goodman</t>
  </si>
  <si>
    <t>JACOB SMITH, RAFAEL SERRANO, George Armstrong-Smith, TOM CHAFFIN</t>
  </si>
  <si>
    <t>Jake Greenwood</t>
  </si>
  <si>
    <t>UNDER 15 GIRLS</t>
  </si>
  <si>
    <t>HONOR CASSLETON-ELLIOT, ROSIE FERGUSON, Isla Horseman, Chae Wai</t>
  </si>
  <si>
    <t>Rebecca Anscombe</t>
  </si>
  <si>
    <t>HONOR CASSLETON-ELLIOT, DEMELZA MCCRAE, GRACE ALLITT, ROSIE FERGUSON, Isla Horseman, Chae Wai</t>
  </si>
  <si>
    <t>Annabelle Souter</t>
  </si>
  <si>
    <t>Kalie Allen</t>
  </si>
  <si>
    <t>UNDER 17 BOYS</t>
  </si>
  <si>
    <t>Alfie Johnson, Dermot O'Rourke</t>
  </si>
  <si>
    <t>Charlie Wright</t>
  </si>
  <si>
    <t>No match</t>
  </si>
  <si>
    <t>U17B3</t>
  </si>
  <si>
    <t>No qualifing runner</t>
  </si>
  <si>
    <t>UNDER 17 GIRLS</t>
  </si>
  <si>
    <t>Ella Ayden</t>
  </si>
  <si>
    <t>Millie Clisby</t>
  </si>
  <si>
    <t>U17G3</t>
  </si>
  <si>
    <t>Note 1: where a Runner who is not a members of an East Susex participating club is first in a category an additional award</t>
  </si>
  <si>
    <t>will be given to the first Participating East Sussex Club Runner</t>
  </si>
  <si>
    <t xml:space="preserve">Note 3: where two runners score the same points position if determined by count back highest to lowest qualifying score </t>
  </si>
  <si>
    <t xml:space="preserve">joint for that position: if this is for first a trophy will be given to both runners: however at the awards presentation </t>
  </si>
  <si>
    <t xml:space="preserve">we will only have one trophy so an additional trophy will be provided later. </t>
  </si>
  <si>
    <t xml:space="preserve">ESSLXC PETT - 10 MARCH 2024 - SENIORS </t>
  </si>
  <si>
    <t xml:space="preserve">ESSLXC 2023/24 MEN AFTER 5 RACES </t>
  </si>
  <si>
    <t xml:space="preserve">ESSLXC 2023/24 WOMEN AFTER 5 RACES </t>
  </si>
  <si>
    <t xml:space="preserve">ESSLXC Pett: 10-March-2024 </t>
  </si>
  <si>
    <t>Whitbread Hollow</t>
  </si>
  <si>
    <t>Snape Wood</t>
  </si>
  <si>
    <t>Newplace</t>
  </si>
  <si>
    <t>Blackcap</t>
  </si>
  <si>
    <t>Pett</t>
  </si>
  <si>
    <t>Pett 10-Mar-2024</t>
  </si>
  <si>
    <t>ESSCCL Race 5: PETT - 10 MARCH 2024 - JUNIORS V2</t>
  </si>
  <si>
    <t>ESSLXC 2023/24 JUNIORS</t>
  </si>
  <si>
    <t>No Match</t>
  </si>
  <si>
    <t>Y</t>
  </si>
  <si>
    <t>N</t>
  </si>
  <si>
    <t>Brighton and Hove Frontrunners</t>
  </si>
  <si>
    <t>Brighton Tri Club</t>
  </si>
  <si>
    <t>Eastbourne Rovers and Team Bodyworks</t>
  </si>
  <si>
    <t>Hastings Runners and Hastings AC</t>
  </si>
  <si>
    <t>Heathfield Road Runners and Uckfield Runners</t>
  </si>
  <si>
    <t xml:space="preserve">Polegate Plodders, Seafront Shufflers, Seaford Striders and Tri Tempo </t>
  </si>
  <si>
    <t>Run Wednesdays</t>
  </si>
  <si>
    <t>Resolved</t>
  </si>
  <si>
    <t>OK</t>
  </si>
  <si>
    <t>Race 5 of 5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</si>
</sst>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-* #,##0_-;\-* #,##0_-;_-* &quot;-&quot;??_-;_-@_-"/>
    <numFmt numFmtId="165" formatCode="#,##0_);\(#,##0\);\-_)"/>
    <numFmt numFmtId="166" formatCode="[h]:mm:ss;;\-_)"/>
    <numFmt numFmtId="167" formatCode="#,##0.00000000_);\(#,##0.00000000\);\-_)"/>
    <numFmt numFmtId="168" formatCode="###0_);\(###0\);\-_)"/>
    <numFmt numFmtId="169" formatCode="&quot;Race &quot;#"/>
    <numFmt numFmtId="170" formatCode="0.000"/>
    <numFmt numFmtId="171" formatCode="#,##0.0000000_);\(#,##0.0000000\);\-_)"/>
    <numFmt numFmtId="172" formatCode="#,##0_);\(#,##0\);0_)"/>
    <numFmt numFmtId="173" formatCode="#,##0.00000000_);\(#,##0.00000000\);0.00000000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b/>
      <sz val="10"/>
      <color rgb="FFFFC00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249977111117893"/>
      <name val="Arial"/>
      <family val="2"/>
    </font>
    <font>
      <b/>
      <sz val="10"/>
      <color rgb="FFFFA900"/>
      <name val="Arial"/>
      <family val="2"/>
    </font>
    <font>
      <sz val="10"/>
      <color theme="0" tint="-0.249977111117893"/>
      <name val="Arial"/>
      <family val="2"/>
    </font>
    <font>
      <sz val="10"/>
      <color rgb="FFFFA900"/>
      <name val="Arial"/>
      <family val="2"/>
    </font>
    <font>
      <b/>
      <sz val="10"/>
      <color theme="0" tint="-0.34998626667073579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C000"/>
      </left>
      <right style="medium">
        <color rgb="FFFFC000"/>
      </right>
      <top/>
      <bottom/>
      <diagonal/>
    </border>
  </borders>
  <cellStyleXfs count="2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98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12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/>
    </xf>
    <xf numFmtId="0" fontId="12" fillId="0" borderId="0" xfId="1" applyFont="1" applyAlignment="1">
      <alignment wrapText="1"/>
    </xf>
    <xf numFmtId="165" fontId="7" fillId="4" borderId="10" xfId="1" applyNumberFormat="1" applyFont="1" applyFill="1" applyBorder="1"/>
    <xf numFmtId="168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8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8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9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70" fontId="3" fillId="0" borderId="17" xfId="1" applyNumberFormat="1" applyFont="1" applyBorder="1"/>
    <xf numFmtId="170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71" fontId="12" fillId="0" borderId="0" xfId="1" applyNumberFormat="1" applyFont="1"/>
    <xf numFmtId="15" fontId="3" fillId="0" borderId="0" xfId="1" applyNumberFormat="1"/>
    <xf numFmtId="14" fontId="3" fillId="0" borderId="0" xfId="1" applyNumberFormat="1"/>
    <xf numFmtId="0" fontId="10" fillId="0" borderId="1" xfId="1" applyFont="1" applyBorder="1"/>
    <xf numFmtId="0" fontId="24" fillId="0" borderId="0" xfId="1" applyFont="1"/>
    <xf numFmtId="0" fontId="20" fillId="0" borderId="0" xfId="1" applyFont="1"/>
    <xf numFmtId="0" fontId="3" fillId="0" borderId="0" xfId="1" applyFont="1" applyAlignment="1">
      <alignment wrapText="1"/>
    </xf>
    <xf numFmtId="0" fontId="7" fillId="0" borderId="1" xfId="1" applyFont="1" applyBorder="1"/>
    <xf numFmtId="172" fontId="7" fillId="0" borderId="0" xfId="1" applyNumberFormat="1" applyFont="1" applyBorder="1"/>
    <xf numFmtId="0" fontId="7" fillId="0" borderId="0" xfId="1" applyFont="1" applyBorder="1"/>
    <xf numFmtId="0" fontId="25" fillId="0" borderId="0" xfId="1" applyFont="1"/>
    <xf numFmtId="0" fontId="26" fillId="0" borderId="1" xfId="1" applyFont="1" applyBorder="1"/>
    <xf numFmtId="172" fontId="3" fillId="0" borderId="1" xfId="1" applyNumberFormat="1" applyBorder="1"/>
    <xf numFmtId="0" fontId="20" fillId="0" borderId="0" xfId="1" applyFont="1" applyBorder="1"/>
    <xf numFmtId="172" fontId="27" fillId="0" borderId="0" xfId="1" applyNumberFormat="1" applyFont="1" applyBorder="1" applyAlignment="1">
      <alignment horizontal="center"/>
    </xf>
    <xf numFmtId="172" fontId="20" fillId="7" borderId="0" xfId="1" applyNumberFormat="1" applyFont="1" applyFill="1" applyBorder="1" applyAlignment="1">
      <alignment horizontal="center"/>
    </xf>
    <xf numFmtId="172" fontId="3" fillId="0" borderId="0" xfId="1" applyNumberFormat="1" applyFont="1" applyBorder="1" applyAlignment="1">
      <alignment horizontal="center"/>
    </xf>
    <xf numFmtId="172" fontId="3" fillId="8" borderId="20" xfId="1" applyNumberFormat="1" applyFont="1" applyFill="1" applyBorder="1" applyAlignment="1">
      <alignment horizontal="center"/>
    </xf>
    <xf numFmtId="172" fontId="12" fillId="8" borderId="20" xfId="1" applyNumberFormat="1" applyFont="1" applyFill="1" applyBorder="1" applyAlignment="1">
      <alignment horizontal="center"/>
    </xf>
    <xf numFmtId="172" fontId="3" fillId="0" borderId="0" xfId="1" applyNumberFormat="1" applyFont="1" applyAlignment="1">
      <alignment horizontal="center"/>
    </xf>
    <xf numFmtId="172" fontId="3" fillId="0" borderId="0" xfId="1" applyNumberFormat="1" applyFont="1" applyBorder="1"/>
    <xf numFmtId="172" fontId="3" fillId="0" borderId="0" xfId="1" applyNumberFormat="1" applyFont="1"/>
    <xf numFmtId="172" fontId="25" fillId="0" borderId="0" xfId="1" applyNumberFormat="1" applyFont="1"/>
    <xf numFmtId="0" fontId="28" fillId="0" borderId="1" xfId="1" applyFont="1" applyBorder="1"/>
    <xf numFmtId="172" fontId="28" fillId="0" borderId="1" xfId="1" applyNumberFormat="1" applyFont="1" applyBorder="1"/>
    <xf numFmtId="0" fontId="25" fillId="0" borderId="1" xfId="1" applyFont="1" applyBorder="1"/>
    <xf numFmtId="172" fontId="25" fillId="0" borderId="1" xfId="1" applyNumberFormat="1" applyFont="1" applyBorder="1"/>
    <xf numFmtId="172" fontId="3" fillId="0" borderId="0" xfId="1" applyNumberFormat="1"/>
    <xf numFmtId="172" fontId="29" fillId="0" borderId="0" xfId="1" applyNumberFormat="1" applyFont="1"/>
    <xf numFmtId="172" fontId="3" fillId="0" borderId="0" xfId="1" applyNumberFormat="1" applyAlignment="1">
      <alignment horizontal="center"/>
    </xf>
    <xf numFmtId="0" fontId="28" fillId="0" borderId="0" xfId="1" applyFont="1"/>
    <xf numFmtId="172" fontId="28" fillId="0" borderId="0" xfId="1" applyNumberFormat="1" applyFont="1"/>
    <xf numFmtId="172" fontId="7" fillId="0" borderId="1" xfId="1" applyNumberFormat="1" applyFont="1" applyBorder="1"/>
    <xf numFmtId="173" fontId="7" fillId="0" borderId="1" xfId="1" applyNumberFormat="1" applyFont="1" applyBorder="1"/>
    <xf numFmtId="172" fontId="27" fillId="0" borderId="0" xfId="1" applyNumberFormat="1" applyFont="1" applyBorder="1"/>
    <xf numFmtId="172" fontId="7" fillId="0" borderId="0" xfId="1" applyNumberFormat="1" applyFont="1" applyBorder="1" applyAlignment="1">
      <alignment horizontal="center"/>
    </xf>
    <xf numFmtId="172" fontId="30" fillId="0" borderId="0" xfId="1" applyNumberFormat="1" applyFont="1"/>
    <xf numFmtId="172" fontId="26" fillId="0" borderId="1" xfId="1" applyNumberFormat="1" applyFont="1" applyBorder="1"/>
    <xf numFmtId="0" fontId="30" fillId="0" borderId="1" xfId="1" applyFont="1" applyBorder="1"/>
    <xf numFmtId="172" fontId="30" fillId="0" borderId="1" xfId="1" applyNumberFormat="1" applyFont="1" applyBorder="1"/>
    <xf numFmtId="0" fontId="3" fillId="0" borderId="1" xfId="1" applyBorder="1" applyAlignment="1">
      <alignment horizontal="right"/>
    </xf>
    <xf numFmtId="0" fontId="31" fillId="0" borderId="1" xfId="1" applyFont="1" applyBorder="1"/>
    <xf numFmtId="0" fontId="31" fillId="0" borderId="1" xfId="1" applyFont="1" applyBorder="1" applyAlignment="1">
      <alignment horizontal="center"/>
    </xf>
    <xf numFmtId="165" fontId="31" fillId="0" borderId="1" xfId="1" applyNumberFormat="1" applyFont="1" applyBorder="1"/>
    <xf numFmtId="173" fontId="31" fillId="0" borderId="1" xfId="1" applyNumberFormat="1" applyFont="1" applyBorder="1"/>
    <xf numFmtId="165" fontId="32" fillId="0" borderId="0" xfId="1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left"/>
    </xf>
    <xf numFmtId="172" fontId="10" fillId="0" borderId="0" xfId="1" applyNumberFormat="1" applyFont="1" applyAlignment="1">
      <alignment horizontal="center"/>
    </xf>
    <xf numFmtId="172" fontId="29" fillId="0" borderId="0" xfId="1" applyNumberFormat="1" applyFont="1" applyBorder="1"/>
    <xf numFmtId="172" fontId="10" fillId="0" borderId="0" xfId="1" applyNumberFormat="1" applyFont="1"/>
    <xf numFmtId="173" fontId="3" fillId="0" borderId="0" xfId="1" applyNumberFormat="1"/>
    <xf numFmtId="173" fontId="7" fillId="0" borderId="0" xfId="1" applyNumberFormat="1" applyFont="1" applyBorder="1"/>
    <xf numFmtId="0" fontId="25" fillId="0" borderId="0" xfId="9" applyFont="1"/>
    <xf numFmtId="172" fontId="3" fillId="0" borderId="0" xfId="1" applyNumberFormat="1" applyBorder="1"/>
    <xf numFmtId="173" fontId="3" fillId="0" borderId="0" xfId="1" applyNumberFormat="1" applyBorder="1"/>
    <xf numFmtId="0" fontId="28" fillId="0" borderId="1" xfId="9" applyFont="1" applyBorder="1"/>
    <xf numFmtId="0" fontId="3" fillId="0" borderId="17" xfId="1" applyBorder="1"/>
    <xf numFmtId="0" fontId="31" fillId="0" borderId="17" xfId="1" applyFont="1" applyBorder="1"/>
    <xf numFmtId="172" fontId="31" fillId="0" borderId="17" xfId="1" applyNumberFormat="1" applyFont="1" applyBorder="1"/>
    <xf numFmtId="172" fontId="31" fillId="0" borderId="0" xfId="1" applyNumberFormat="1" applyFont="1" applyBorder="1"/>
    <xf numFmtId="173" fontId="31" fillId="0" borderId="0" xfId="1" applyNumberFormat="1" applyFont="1" applyBorder="1"/>
    <xf numFmtId="172" fontId="31" fillId="0" borderId="0" xfId="1" applyNumberFormat="1" applyFont="1" applyBorder="1" applyAlignment="1">
      <alignment horizontal="center"/>
    </xf>
    <xf numFmtId="0" fontId="28" fillId="0" borderId="17" xfId="1" applyFont="1" applyBorder="1"/>
    <xf numFmtId="172" fontId="28" fillId="0" borderId="17" xfId="1" applyNumberFormat="1" applyFont="1" applyBorder="1"/>
    <xf numFmtId="172" fontId="31" fillId="0" borderId="1" xfId="1" applyNumberFormat="1" applyFont="1" applyBorder="1"/>
    <xf numFmtId="172" fontId="28" fillId="0" borderId="1" xfId="9" applyNumberFormat="1" applyFont="1" applyBorder="1"/>
    <xf numFmtId="0" fontId="14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1" xfId="1" applyFont="1" applyBorder="1"/>
    <xf numFmtId="46" fontId="3" fillId="0" borderId="20" xfId="9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8" fontId="3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5" borderId="23" xfId="1" applyFont="1" applyFill="1" applyBorder="1"/>
    <xf numFmtId="0" fontId="3" fillId="0" borderId="0" xfId="1" applyBorder="1"/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0" fontId="3" fillId="4" borderId="0" xfId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71" fontId="3" fillId="0" borderId="0" xfId="1" applyNumberFormat="1" applyAlignment="1">
      <alignment horizontal="center"/>
    </xf>
    <xf numFmtId="0" fontId="31" fillId="0" borderId="0" xfId="1" quotePrefix="1" applyFont="1" applyBorder="1" applyAlignment="1">
      <alignment horizontal="center"/>
    </xf>
    <xf numFmtId="0" fontId="31" fillId="6" borderId="0" xfId="1" quotePrefix="1" applyFont="1" applyFill="1" applyBorder="1" applyAlignment="1">
      <alignment horizontal="center"/>
    </xf>
    <xf numFmtId="172" fontId="20" fillId="0" borderId="0" xfId="1" applyNumberFormat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</cellXfs>
  <cellStyles count="28">
    <cellStyle name="Comma 2" xfId="2"/>
    <cellStyle name="Comma 2 2" xfId="3"/>
    <cellStyle name="Comma 2 3" xfId="4"/>
    <cellStyle name="Comma 2 4" xfId="5"/>
    <cellStyle name="Comma 3" xfId="6"/>
    <cellStyle name="Comma 4" xfId="7"/>
    <cellStyle name="Comma 5" xfId="8"/>
    <cellStyle name="Normal" xfId="0" builtinId="0"/>
    <cellStyle name="Normal 2" xfId="1"/>
    <cellStyle name="Normal 2 2" xfId="9"/>
    <cellStyle name="Normal 2 3" xfId="10"/>
    <cellStyle name="Normal 2 4" xfId="11"/>
    <cellStyle name="Normal 3" xfId="12"/>
    <cellStyle name="Normal 4" xfId="13"/>
    <cellStyle name="Normal 4 2" xfId="14"/>
    <cellStyle name="Normal 4 2 2" xfId="15"/>
    <cellStyle name="Normal 4 2 2 2" xfId="16"/>
    <cellStyle name="Normal 4 2 3" xfId="17"/>
    <cellStyle name="Normal 4 3" xfId="18"/>
    <cellStyle name="Normal 4 3 2" xfId="19"/>
    <cellStyle name="Normal 4 4" xfId="20"/>
    <cellStyle name="Normal 4 5" xfId="21"/>
    <cellStyle name="Normal 5" xfId="22"/>
    <cellStyle name="Normal 6" xfId="23"/>
    <cellStyle name="Normal 6 2" xfId="24"/>
    <cellStyle name="Normal 7" xfId="25"/>
    <cellStyle name="Normal 8" xfId="26"/>
    <cellStyle name="Normal 9" xfId="27"/>
  </cellStyles>
  <dxfs count="47">
    <dxf>
      <font>
        <color rgb="FFFFA900"/>
      </font>
    </dxf>
    <dxf>
      <font>
        <color rgb="FFFFA9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rgb="FFFFA900"/>
      </font>
    </dxf>
    <dxf>
      <font>
        <color rgb="FFFFA90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253"/>
  <sheetViews>
    <sheetView topLeftCell="A5" workbookViewId="0">
      <selection activeCell="L19" sqref="L19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251</v>
      </c>
    </row>
    <row r="2" spans="1:11" ht="15.75" hidden="1" outlineLevel="1" thickBot="1">
      <c r="A2" s="1" t="s">
        <v>1</v>
      </c>
      <c r="C2" s="5">
        <v>253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238</v>
      </c>
      <c r="B4" s="12" t="s">
        <v>3</v>
      </c>
      <c r="C4" s="12" t="s">
        <v>4</v>
      </c>
      <c r="D4" s="12">
        <v>238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1317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1003</v>
      </c>
      <c r="C8" s="24">
        <v>1.8912037037037036E-2</v>
      </c>
      <c r="D8" s="25" t="s">
        <v>17</v>
      </c>
      <c r="E8" s="19" t="s">
        <v>18</v>
      </c>
      <c r="F8" s="25" t="s">
        <v>19</v>
      </c>
      <c r="G8" s="25" t="s">
        <v>20</v>
      </c>
      <c r="H8" s="25" t="s">
        <v>21</v>
      </c>
      <c r="I8" s="25">
        <v>300</v>
      </c>
      <c r="J8" s="25" t="s">
        <v>22</v>
      </c>
      <c r="K8" s="25">
        <v>1</v>
      </c>
    </row>
    <row r="9" spans="1:11">
      <c r="A9" s="2">
        <v>2</v>
      </c>
      <c r="B9" s="2">
        <v>177</v>
      </c>
      <c r="C9" s="24">
        <v>1.9085648148148147E-2</v>
      </c>
      <c r="D9" s="25" t="s">
        <v>23</v>
      </c>
      <c r="E9" s="19" t="s">
        <v>24</v>
      </c>
      <c r="F9" s="25" t="s">
        <v>25</v>
      </c>
      <c r="G9" s="25" t="s">
        <v>26</v>
      </c>
      <c r="H9" s="25" t="s">
        <v>21</v>
      </c>
      <c r="I9" s="25">
        <v>299</v>
      </c>
      <c r="J9" s="25" t="s">
        <v>22</v>
      </c>
      <c r="K9" s="25">
        <v>2</v>
      </c>
    </row>
    <row r="10" spans="1:11">
      <c r="A10" s="2">
        <v>3</v>
      </c>
      <c r="B10" s="2">
        <v>1015</v>
      </c>
      <c r="C10" s="24">
        <v>1.9178240740740742E-2</v>
      </c>
      <c r="D10" s="25" t="s">
        <v>27</v>
      </c>
      <c r="E10" s="19" t="s">
        <v>28</v>
      </c>
      <c r="F10" s="25" t="s">
        <v>29</v>
      </c>
      <c r="G10" s="25" t="s">
        <v>29</v>
      </c>
      <c r="H10" s="25" t="s">
        <v>21</v>
      </c>
      <c r="I10" s="25">
        <v>298</v>
      </c>
      <c r="J10" s="25" t="s">
        <v>22</v>
      </c>
      <c r="K10" s="25">
        <v>3</v>
      </c>
    </row>
    <row r="11" spans="1:11">
      <c r="A11" s="2">
        <v>4</v>
      </c>
      <c r="B11" s="2">
        <v>566</v>
      </c>
      <c r="C11" s="24">
        <v>1.9490740740740743E-2</v>
      </c>
      <c r="D11" s="25" t="s">
        <v>30</v>
      </c>
      <c r="E11" s="19" t="s">
        <v>18</v>
      </c>
      <c r="F11" s="25" t="s">
        <v>19</v>
      </c>
      <c r="G11" s="25" t="s">
        <v>20</v>
      </c>
      <c r="H11" s="25" t="s">
        <v>31</v>
      </c>
      <c r="I11" s="25">
        <v>297</v>
      </c>
      <c r="J11" s="25" t="s">
        <v>32</v>
      </c>
      <c r="K11" s="25">
        <v>4</v>
      </c>
    </row>
    <row r="12" spans="1:11">
      <c r="A12" s="2">
        <v>5</v>
      </c>
      <c r="B12" s="2">
        <v>696</v>
      </c>
      <c r="C12" s="24">
        <v>1.9837962962962963E-2</v>
      </c>
      <c r="D12" s="25" t="s">
        <v>33</v>
      </c>
      <c r="E12" s="19" t="s">
        <v>28</v>
      </c>
      <c r="F12" s="25" t="s">
        <v>29</v>
      </c>
      <c r="G12" s="25" t="s">
        <v>29</v>
      </c>
      <c r="H12" s="25" t="s">
        <v>31</v>
      </c>
      <c r="I12" s="25">
        <v>296</v>
      </c>
      <c r="J12" s="25" t="s">
        <v>32</v>
      </c>
      <c r="K12" s="25">
        <v>5</v>
      </c>
    </row>
    <row r="13" spans="1:11">
      <c r="A13" s="2">
        <v>6</v>
      </c>
      <c r="B13" s="2">
        <v>1018</v>
      </c>
      <c r="C13" s="24">
        <v>2.0497685185185185E-2</v>
      </c>
      <c r="D13" s="25" t="s">
        <v>34</v>
      </c>
      <c r="E13" s="19" t="s">
        <v>18</v>
      </c>
      <c r="F13" s="25" t="s">
        <v>19</v>
      </c>
      <c r="G13" s="25" t="s">
        <v>20</v>
      </c>
      <c r="H13" s="25" t="s">
        <v>21</v>
      </c>
      <c r="I13" s="25">
        <v>295</v>
      </c>
      <c r="J13" s="25" t="s">
        <v>35</v>
      </c>
      <c r="K13" s="25">
        <v>6</v>
      </c>
    </row>
    <row r="14" spans="1:11">
      <c r="A14" s="2">
        <v>7</v>
      </c>
      <c r="B14" s="2">
        <v>438</v>
      </c>
      <c r="C14" s="24">
        <v>2.0555555555555556E-2</v>
      </c>
      <c r="D14" s="25" t="s">
        <v>36</v>
      </c>
      <c r="E14" s="19" t="s">
        <v>37</v>
      </c>
      <c r="F14" s="25" t="s">
        <v>38</v>
      </c>
      <c r="G14" s="25" t="s">
        <v>38</v>
      </c>
      <c r="H14" s="25" t="s">
        <v>39</v>
      </c>
      <c r="I14" s="25">
        <v>294</v>
      </c>
      <c r="J14" s="25" t="s">
        <v>40</v>
      </c>
      <c r="K14" s="25">
        <v>7</v>
      </c>
    </row>
    <row r="15" spans="1:11">
      <c r="A15" s="2">
        <v>8</v>
      </c>
      <c r="B15" s="2">
        <v>707</v>
      </c>
      <c r="C15" s="24">
        <v>2.056712962962963E-2</v>
      </c>
      <c r="D15" s="25" t="s">
        <v>41</v>
      </c>
      <c r="E15" s="19" t="s">
        <v>28</v>
      </c>
      <c r="F15" s="25" t="s">
        <v>29</v>
      </c>
      <c r="G15" s="25" t="s">
        <v>29</v>
      </c>
      <c r="H15" s="25" t="s">
        <v>31</v>
      </c>
      <c r="I15" s="25">
        <v>293</v>
      </c>
      <c r="J15" s="25" t="s">
        <v>35</v>
      </c>
      <c r="K15" s="25">
        <v>8</v>
      </c>
    </row>
    <row r="16" spans="1:11">
      <c r="A16" s="2">
        <v>9</v>
      </c>
      <c r="B16" s="2">
        <v>576</v>
      </c>
      <c r="C16" s="24">
        <v>2.0578703703703703E-2</v>
      </c>
      <c r="D16" s="25" t="s">
        <v>42</v>
      </c>
      <c r="E16" s="19" t="s">
        <v>18</v>
      </c>
      <c r="F16" s="25" t="s">
        <v>19</v>
      </c>
      <c r="G16" s="25" t="s">
        <v>20</v>
      </c>
      <c r="H16" s="25" t="s">
        <v>43</v>
      </c>
      <c r="I16" s="25">
        <v>292</v>
      </c>
      <c r="J16" s="25" t="s">
        <v>44</v>
      </c>
      <c r="K16" s="25">
        <v>9</v>
      </c>
    </row>
    <row r="17" spans="1:11">
      <c r="A17" s="2">
        <v>10</v>
      </c>
      <c r="B17" s="2">
        <v>221</v>
      </c>
      <c r="C17" s="24">
        <v>2.0937499999999998E-2</v>
      </c>
      <c r="D17" s="25" t="s">
        <v>45</v>
      </c>
      <c r="E17" s="19" t="s">
        <v>46</v>
      </c>
      <c r="F17" s="25" t="s">
        <v>47</v>
      </c>
      <c r="G17" s="25" t="s">
        <v>47</v>
      </c>
      <c r="H17" s="25" t="s">
        <v>39</v>
      </c>
      <c r="I17" s="25">
        <v>291</v>
      </c>
      <c r="J17" s="25" t="s">
        <v>40</v>
      </c>
      <c r="K17" s="25">
        <v>10</v>
      </c>
    </row>
    <row r="18" spans="1:11">
      <c r="A18" s="2">
        <v>11</v>
      </c>
      <c r="B18" s="2">
        <v>942</v>
      </c>
      <c r="C18" s="24">
        <v>2.1157407407407406E-2</v>
      </c>
      <c r="D18" s="25" t="s">
        <v>48</v>
      </c>
      <c r="E18" s="19" t="s">
        <v>49</v>
      </c>
      <c r="F18" s="25" t="s">
        <v>50</v>
      </c>
      <c r="G18" s="25" t="s">
        <v>50</v>
      </c>
      <c r="H18" s="25" t="s">
        <v>43</v>
      </c>
      <c r="I18" s="25">
        <v>290</v>
      </c>
      <c r="J18" s="25" t="s">
        <v>44</v>
      </c>
      <c r="K18" s="25">
        <v>11</v>
      </c>
    </row>
    <row r="19" spans="1:11">
      <c r="A19" s="2">
        <v>12</v>
      </c>
      <c r="B19" s="2">
        <v>267</v>
      </c>
      <c r="C19" s="24">
        <v>2.1261574074074075E-2</v>
      </c>
      <c r="D19" s="25" t="s">
        <v>51</v>
      </c>
      <c r="E19" s="19" t="s">
        <v>52</v>
      </c>
      <c r="F19" s="25" t="s">
        <v>53</v>
      </c>
      <c r="G19" s="25" t="s">
        <v>53</v>
      </c>
      <c r="H19" s="25" t="s">
        <v>54</v>
      </c>
      <c r="I19" s="25">
        <v>289</v>
      </c>
      <c r="J19" s="25" t="s">
        <v>40</v>
      </c>
      <c r="K19" s="25">
        <v>12</v>
      </c>
    </row>
    <row r="20" spans="1:11">
      <c r="A20" s="2">
        <v>13</v>
      </c>
      <c r="B20" s="2">
        <v>476</v>
      </c>
      <c r="C20" s="24">
        <v>2.1458333333333333E-2</v>
      </c>
      <c r="D20" s="25" t="s">
        <v>55</v>
      </c>
      <c r="E20" s="19" t="s">
        <v>56</v>
      </c>
      <c r="F20" s="25" t="s">
        <v>57</v>
      </c>
      <c r="G20" s="25" t="s">
        <v>58</v>
      </c>
      <c r="H20" s="25" t="s">
        <v>31</v>
      </c>
      <c r="I20" s="25">
        <v>288</v>
      </c>
      <c r="J20" s="25" t="s">
        <v>22</v>
      </c>
      <c r="K20" s="25">
        <v>13</v>
      </c>
    </row>
    <row r="21" spans="1:11">
      <c r="A21" s="2">
        <v>14</v>
      </c>
      <c r="B21" s="2">
        <v>873</v>
      </c>
      <c r="C21" s="24">
        <v>2.1805555555555554E-2</v>
      </c>
      <c r="D21" s="25" t="s">
        <v>59</v>
      </c>
      <c r="E21" s="19" t="s">
        <v>60</v>
      </c>
      <c r="F21" s="25" t="s">
        <v>61</v>
      </c>
      <c r="G21" s="25" t="s">
        <v>62</v>
      </c>
      <c r="H21" s="25" t="s">
        <v>31</v>
      </c>
      <c r="I21" s="25">
        <v>287</v>
      </c>
      <c r="J21" s="25" t="s">
        <v>22</v>
      </c>
      <c r="K21" s="25">
        <v>14</v>
      </c>
    </row>
    <row r="22" spans="1:11">
      <c r="A22" s="2">
        <v>15</v>
      </c>
      <c r="B22" s="2">
        <v>701</v>
      </c>
      <c r="C22" s="24">
        <v>2.1817129629629631E-2</v>
      </c>
      <c r="D22" s="25" t="s">
        <v>63</v>
      </c>
      <c r="E22" s="19" t="s">
        <v>28</v>
      </c>
      <c r="F22" s="25" t="s">
        <v>29</v>
      </c>
      <c r="G22" s="25" t="s">
        <v>29</v>
      </c>
      <c r="H22" s="25" t="s">
        <v>39</v>
      </c>
      <c r="I22" s="25">
        <v>286</v>
      </c>
      <c r="J22" s="25" t="s">
        <v>40</v>
      </c>
      <c r="K22" s="25">
        <v>15</v>
      </c>
    </row>
    <row r="23" spans="1:11">
      <c r="A23" s="2">
        <v>16</v>
      </c>
      <c r="B23" s="2">
        <v>512</v>
      </c>
      <c r="C23" s="24">
        <v>2.1990740740740741E-2</v>
      </c>
      <c r="D23" s="25" t="s">
        <v>64</v>
      </c>
      <c r="E23" s="19" t="s">
        <v>65</v>
      </c>
      <c r="F23" s="25" t="s">
        <v>66</v>
      </c>
      <c r="G23" s="25" t="s">
        <v>66</v>
      </c>
      <c r="H23" s="25" t="s">
        <v>31</v>
      </c>
      <c r="I23" s="25">
        <v>285</v>
      </c>
      <c r="J23" s="25" t="s">
        <v>22</v>
      </c>
      <c r="K23" s="25">
        <v>16</v>
      </c>
    </row>
    <row r="24" spans="1:11">
      <c r="A24" s="2">
        <v>17</v>
      </c>
      <c r="B24" s="2">
        <v>976</v>
      </c>
      <c r="C24" s="24">
        <v>2.2083333333333333E-2</v>
      </c>
      <c r="D24" s="25" t="s">
        <v>67</v>
      </c>
      <c r="E24" s="19" t="s">
        <v>68</v>
      </c>
      <c r="F24" s="25" t="s">
        <v>69</v>
      </c>
      <c r="G24" s="25" t="s">
        <v>26</v>
      </c>
      <c r="H24" s="25" t="s">
        <v>54</v>
      </c>
      <c r="I24" s="25">
        <v>284</v>
      </c>
      <c r="J24" s="25" t="s">
        <v>40</v>
      </c>
      <c r="K24" s="25">
        <v>17</v>
      </c>
    </row>
    <row r="25" spans="1:11">
      <c r="A25" s="2">
        <v>18</v>
      </c>
      <c r="B25" s="2">
        <v>1008</v>
      </c>
      <c r="C25" s="24">
        <v>2.2303240740740738E-2</v>
      </c>
      <c r="D25" s="25" t="s">
        <v>70</v>
      </c>
      <c r="E25" s="19" t="s">
        <v>52</v>
      </c>
      <c r="F25" s="25" t="s">
        <v>53</v>
      </c>
      <c r="G25" s="25" t="s">
        <v>53</v>
      </c>
      <c r="H25" s="25" t="s">
        <v>39</v>
      </c>
      <c r="I25" s="25">
        <v>283</v>
      </c>
      <c r="J25" s="25" t="s">
        <v>71</v>
      </c>
      <c r="K25" s="25">
        <v>18</v>
      </c>
    </row>
    <row r="26" spans="1:11">
      <c r="A26" s="2">
        <v>19</v>
      </c>
      <c r="B26" s="2">
        <v>390</v>
      </c>
      <c r="C26" s="24">
        <v>2.2337962962962962E-2</v>
      </c>
      <c r="D26" s="25" t="s">
        <v>72</v>
      </c>
      <c r="E26" s="19" t="s">
        <v>37</v>
      </c>
      <c r="F26" s="25" t="s">
        <v>38</v>
      </c>
      <c r="G26" s="25" t="s">
        <v>38</v>
      </c>
      <c r="H26" s="25" t="s">
        <v>21</v>
      </c>
      <c r="I26" s="25">
        <v>282</v>
      </c>
      <c r="J26" s="25" t="s">
        <v>22</v>
      </c>
      <c r="K26" s="25">
        <v>19</v>
      </c>
    </row>
    <row r="27" spans="1:11">
      <c r="A27" s="2">
        <v>20</v>
      </c>
      <c r="B27" s="2">
        <v>104</v>
      </c>
      <c r="C27" s="24">
        <v>2.2349537037037032E-2</v>
      </c>
      <c r="D27" s="25" t="s">
        <v>73</v>
      </c>
      <c r="E27" s="19" t="s">
        <v>60</v>
      </c>
      <c r="F27" s="25" t="s">
        <v>61</v>
      </c>
      <c r="G27" s="25" t="s">
        <v>62</v>
      </c>
      <c r="H27" s="25" t="s">
        <v>21</v>
      </c>
      <c r="I27" s="25">
        <v>281</v>
      </c>
      <c r="J27" s="25" t="s">
        <v>32</v>
      </c>
      <c r="K27" s="25">
        <v>20</v>
      </c>
    </row>
    <row r="28" spans="1:11">
      <c r="A28" s="2">
        <v>21</v>
      </c>
      <c r="B28" s="2">
        <v>1012</v>
      </c>
      <c r="C28" s="24">
        <v>2.238425925925926E-2</v>
      </c>
      <c r="D28" s="25" t="s">
        <v>74</v>
      </c>
      <c r="E28" s="19" t="s">
        <v>75</v>
      </c>
      <c r="F28" s="25" t="s">
        <v>76</v>
      </c>
      <c r="G28" s="25" t="s">
        <v>76</v>
      </c>
      <c r="H28" s="25" t="s">
        <v>21</v>
      </c>
      <c r="I28" s="25">
        <v>280</v>
      </c>
      <c r="J28" s="25" t="s">
        <v>22</v>
      </c>
      <c r="K28" s="25">
        <v>21</v>
      </c>
    </row>
    <row r="29" spans="1:11">
      <c r="A29" s="2">
        <v>22</v>
      </c>
      <c r="B29" s="2">
        <v>326</v>
      </c>
      <c r="C29" s="24">
        <v>2.2476851851851855E-2</v>
      </c>
      <c r="D29" s="25" t="s">
        <v>77</v>
      </c>
      <c r="E29" s="19" t="s">
        <v>75</v>
      </c>
      <c r="F29" s="25" t="s">
        <v>76</v>
      </c>
      <c r="G29" s="25" t="s">
        <v>76</v>
      </c>
      <c r="H29" s="25" t="s">
        <v>39</v>
      </c>
      <c r="I29" s="25">
        <v>279</v>
      </c>
      <c r="J29" s="25" t="s">
        <v>40</v>
      </c>
      <c r="K29" s="25">
        <v>22</v>
      </c>
    </row>
    <row r="30" spans="1:11">
      <c r="A30" s="2">
        <v>23</v>
      </c>
      <c r="B30" s="2">
        <v>712</v>
      </c>
      <c r="C30" s="24">
        <v>2.2592592592592591E-2</v>
      </c>
      <c r="D30" s="25" t="s">
        <v>78</v>
      </c>
      <c r="E30" s="19" t="s">
        <v>49</v>
      </c>
      <c r="F30" s="25" t="s">
        <v>50</v>
      </c>
      <c r="G30" s="25" t="s">
        <v>50</v>
      </c>
      <c r="H30" s="25" t="s">
        <v>79</v>
      </c>
      <c r="I30" s="25">
        <v>278</v>
      </c>
      <c r="J30" s="25" t="s">
        <v>80</v>
      </c>
      <c r="K30" s="25">
        <v>23</v>
      </c>
    </row>
    <row r="31" spans="1:11">
      <c r="A31" s="2">
        <v>24</v>
      </c>
      <c r="B31" s="2">
        <v>508</v>
      </c>
      <c r="C31" s="24">
        <v>2.2615740740740742E-2</v>
      </c>
      <c r="D31" s="25" t="s">
        <v>81</v>
      </c>
      <c r="E31" s="19" t="s">
        <v>65</v>
      </c>
      <c r="F31" s="25" t="s">
        <v>66</v>
      </c>
      <c r="G31" s="25" t="s">
        <v>66</v>
      </c>
      <c r="H31" s="25" t="s">
        <v>31</v>
      </c>
      <c r="I31" s="25">
        <v>277</v>
      </c>
      <c r="J31" s="25" t="s">
        <v>32</v>
      </c>
      <c r="K31" s="25">
        <v>24</v>
      </c>
    </row>
    <row r="32" spans="1:11">
      <c r="A32" s="2">
        <v>25</v>
      </c>
      <c r="B32" s="2">
        <v>284</v>
      </c>
      <c r="C32" s="24">
        <v>2.2638888888888889E-2</v>
      </c>
      <c r="D32" s="25" t="s">
        <v>82</v>
      </c>
      <c r="E32" s="19" t="s">
        <v>83</v>
      </c>
      <c r="F32" s="25" t="s">
        <v>84</v>
      </c>
      <c r="G32" s="25" t="s">
        <v>84</v>
      </c>
      <c r="H32" s="25" t="s">
        <v>43</v>
      </c>
      <c r="I32" s="25">
        <v>276</v>
      </c>
      <c r="J32" s="25" t="s">
        <v>44</v>
      </c>
      <c r="K32" s="25">
        <v>25</v>
      </c>
    </row>
    <row r="33" spans="1:11">
      <c r="A33" s="2">
        <v>26</v>
      </c>
      <c r="B33" s="2">
        <v>114</v>
      </c>
      <c r="C33" s="24">
        <v>2.2754629629629628E-2</v>
      </c>
      <c r="D33" s="25" t="s">
        <v>85</v>
      </c>
      <c r="E33" s="19" t="s">
        <v>60</v>
      </c>
      <c r="F33" s="25" t="s">
        <v>61</v>
      </c>
      <c r="G33" s="25" t="s">
        <v>62</v>
      </c>
      <c r="H33" s="25" t="s">
        <v>43</v>
      </c>
      <c r="I33" s="25">
        <v>275</v>
      </c>
      <c r="J33" s="25" t="s">
        <v>44</v>
      </c>
      <c r="K33" s="25">
        <v>26</v>
      </c>
    </row>
    <row r="34" spans="1:11">
      <c r="A34" s="2">
        <v>27</v>
      </c>
      <c r="B34" s="2">
        <v>624</v>
      </c>
      <c r="C34" s="24">
        <v>2.2789351851851852E-2</v>
      </c>
      <c r="D34" s="25" t="s">
        <v>86</v>
      </c>
      <c r="E34" s="19" t="s">
        <v>87</v>
      </c>
      <c r="F34" s="25" t="s">
        <v>88</v>
      </c>
      <c r="G34" s="25" t="s">
        <v>20</v>
      </c>
      <c r="H34" s="25" t="s">
        <v>89</v>
      </c>
      <c r="I34" s="25">
        <v>200</v>
      </c>
      <c r="J34" s="25" t="s">
        <v>90</v>
      </c>
      <c r="K34" s="25">
        <v>27</v>
      </c>
    </row>
    <row r="35" spans="1:11">
      <c r="A35" s="2">
        <v>28</v>
      </c>
      <c r="B35" s="2">
        <v>10</v>
      </c>
      <c r="C35" s="24">
        <v>2.2928240740740739E-2</v>
      </c>
      <c r="D35" s="25" t="s">
        <v>91</v>
      </c>
      <c r="E35" s="19" t="s">
        <v>92</v>
      </c>
      <c r="F35" s="25" t="s">
        <v>93</v>
      </c>
      <c r="G35" s="25" t="s">
        <v>93</v>
      </c>
      <c r="H35" s="25" t="s">
        <v>79</v>
      </c>
      <c r="I35" s="25">
        <v>274</v>
      </c>
      <c r="J35" s="25" t="s">
        <v>44</v>
      </c>
      <c r="K35" s="25">
        <v>28</v>
      </c>
    </row>
    <row r="36" spans="1:11">
      <c r="A36" s="2">
        <v>29</v>
      </c>
      <c r="B36" s="2">
        <v>116</v>
      </c>
      <c r="C36" s="24">
        <v>2.297453703703704E-2</v>
      </c>
      <c r="D36" s="25" t="s">
        <v>94</v>
      </c>
      <c r="E36" s="19" t="s">
        <v>60</v>
      </c>
      <c r="F36" s="25" t="s">
        <v>61</v>
      </c>
      <c r="G36" s="25" t="s">
        <v>62</v>
      </c>
      <c r="H36" s="25" t="s">
        <v>21</v>
      </c>
      <c r="I36" s="25">
        <v>273</v>
      </c>
      <c r="J36" s="25" t="s">
        <v>35</v>
      </c>
      <c r="K36" s="25">
        <v>29</v>
      </c>
    </row>
    <row r="37" spans="1:11">
      <c r="A37" s="2">
        <v>30</v>
      </c>
      <c r="B37" s="2">
        <v>1013</v>
      </c>
      <c r="C37" s="24">
        <v>2.3043981481481481E-2</v>
      </c>
      <c r="D37" s="25" t="s">
        <v>95</v>
      </c>
      <c r="E37" s="19" t="s">
        <v>52</v>
      </c>
      <c r="F37" s="25" t="s">
        <v>53</v>
      </c>
      <c r="G37" s="25" t="s">
        <v>53</v>
      </c>
      <c r="H37" s="25" t="s">
        <v>21</v>
      </c>
      <c r="I37" s="25">
        <v>272</v>
      </c>
      <c r="J37" s="25" t="s">
        <v>22</v>
      </c>
      <c r="K37" s="25">
        <v>30</v>
      </c>
    </row>
    <row r="38" spans="1:11">
      <c r="A38" s="2">
        <v>31</v>
      </c>
      <c r="B38" s="2">
        <v>612</v>
      </c>
      <c r="C38" s="24">
        <v>2.3055555555555555E-2</v>
      </c>
      <c r="D38" s="25" t="s">
        <v>96</v>
      </c>
      <c r="E38" s="19" t="s">
        <v>87</v>
      </c>
      <c r="F38" s="25" t="s">
        <v>88</v>
      </c>
      <c r="G38" s="25" t="s">
        <v>20</v>
      </c>
      <c r="H38" s="25" t="s">
        <v>31</v>
      </c>
      <c r="I38" s="25">
        <v>271</v>
      </c>
      <c r="J38" s="25" t="s">
        <v>97</v>
      </c>
      <c r="K38" s="25">
        <v>31</v>
      </c>
    </row>
    <row r="39" spans="1:11">
      <c r="A39" s="2">
        <v>32</v>
      </c>
      <c r="B39" s="2">
        <v>268</v>
      </c>
      <c r="C39" s="24">
        <v>2.3078703703703702E-2</v>
      </c>
      <c r="D39" s="25" t="s">
        <v>98</v>
      </c>
      <c r="E39" s="19" t="s">
        <v>52</v>
      </c>
      <c r="F39" s="25" t="s">
        <v>53</v>
      </c>
      <c r="G39" s="25" t="s">
        <v>53</v>
      </c>
      <c r="H39" s="25" t="s">
        <v>43</v>
      </c>
      <c r="I39" s="25">
        <v>270</v>
      </c>
      <c r="J39" s="25" t="s">
        <v>44</v>
      </c>
      <c r="K39" s="25">
        <v>32</v>
      </c>
    </row>
    <row r="40" spans="1:11">
      <c r="A40" s="2">
        <v>33</v>
      </c>
      <c r="B40" s="2">
        <v>584</v>
      </c>
      <c r="C40" s="24">
        <v>2.3217592592592592E-2</v>
      </c>
      <c r="D40" s="25" t="s">
        <v>99</v>
      </c>
      <c r="E40" s="19" t="s">
        <v>87</v>
      </c>
      <c r="F40" s="25" t="s">
        <v>88</v>
      </c>
      <c r="G40" s="25" t="s">
        <v>20</v>
      </c>
      <c r="H40" s="25" t="s">
        <v>79</v>
      </c>
      <c r="I40" s="25">
        <v>269</v>
      </c>
      <c r="J40" s="25" t="s">
        <v>80</v>
      </c>
      <c r="K40" s="25">
        <v>33</v>
      </c>
    </row>
    <row r="41" spans="1:11">
      <c r="A41" s="2">
        <v>34</v>
      </c>
      <c r="B41" s="2">
        <v>421</v>
      </c>
      <c r="C41" s="24">
        <v>2.3460648148148147E-2</v>
      </c>
      <c r="D41" s="25" t="s">
        <v>100</v>
      </c>
      <c r="E41" s="19" t="s">
        <v>37</v>
      </c>
      <c r="F41" s="25" t="s">
        <v>38</v>
      </c>
      <c r="G41" s="25" t="s">
        <v>38</v>
      </c>
      <c r="H41" s="25" t="s">
        <v>39</v>
      </c>
      <c r="I41" s="25">
        <v>268</v>
      </c>
      <c r="J41" s="25" t="s">
        <v>71</v>
      </c>
      <c r="K41" s="25">
        <v>34</v>
      </c>
    </row>
    <row r="42" spans="1:11">
      <c r="A42" s="2">
        <v>35</v>
      </c>
      <c r="B42" s="2">
        <v>159</v>
      </c>
      <c r="C42" s="24">
        <v>2.3796296296296298E-2</v>
      </c>
      <c r="D42" s="25" t="s">
        <v>101</v>
      </c>
      <c r="E42" s="19" t="s">
        <v>102</v>
      </c>
      <c r="F42" s="25" t="s">
        <v>103</v>
      </c>
      <c r="G42" s="25" t="s">
        <v>62</v>
      </c>
      <c r="H42" s="25" t="s">
        <v>43</v>
      </c>
      <c r="I42" s="25">
        <v>267</v>
      </c>
      <c r="J42" s="25" t="s">
        <v>80</v>
      </c>
      <c r="K42" s="25">
        <v>35</v>
      </c>
    </row>
    <row r="43" spans="1:11">
      <c r="A43" s="2">
        <v>36</v>
      </c>
      <c r="B43" s="2">
        <v>621</v>
      </c>
      <c r="C43" s="24">
        <v>2.3912037037037034E-2</v>
      </c>
      <c r="D43" s="25" t="s">
        <v>104</v>
      </c>
      <c r="E43" s="19" t="s">
        <v>87</v>
      </c>
      <c r="F43" s="25" t="s">
        <v>88</v>
      </c>
      <c r="G43" s="25" t="s">
        <v>20</v>
      </c>
      <c r="H43" s="25" t="s">
        <v>105</v>
      </c>
      <c r="I43" s="25">
        <v>266</v>
      </c>
      <c r="J43" s="25" t="s">
        <v>106</v>
      </c>
      <c r="K43" s="25">
        <v>36</v>
      </c>
    </row>
    <row r="44" spans="1:11">
      <c r="A44" s="2">
        <v>37</v>
      </c>
      <c r="B44" s="2">
        <v>464</v>
      </c>
      <c r="C44" s="24">
        <v>2.3993055555555556E-2</v>
      </c>
      <c r="D44" s="25" t="s">
        <v>107</v>
      </c>
      <c r="E44" s="19" t="s">
        <v>56</v>
      </c>
      <c r="F44" s="25" t="s">
        <v>57</v>
      </c>
      <c r="G44" s="25" t="s">
        <v>58</v>
      </c>
      <c r="H44" s="25" t="s">
        <v>43</v>
      </c>
      <c r="I44" s="25">
        <v>265</v>
      </c>
      <c r="J44" s="25" t="s">
        <v>44</v>
      </c>
      <c r="K44" s="25">
        <v>37</v>
      </c>
    </row>
    <row r="45" spans="1:11">
      <c r="A45" s="2">
        <v>38</v>
      </c>
      <c r="B45" s="2">
        <v>417</v>
      </c>
      <c r="C45" s="24">
        <v>2.4016203703703706E-2</v>
      </c>
      <c r="D45" s="25" t="s">
        <v>108</v>
      </c>
      <c r="E45" s="19" t="s">
        <v>37</v>
      </c>
      <c r="F45" s="25" t="s">
        <v>38</v>
      </c>
      <c r="G45" s="25" t="s">
        <v>38</v>
      </c>
      <c r="H45" s="25" t="s">
        <v>109</v>
      </c>
      <c r="I45" s="25">
        <v>199</v>
      </c>
      <c r="J45" s="25" t="s">
        <v>90</v>
      </c>
      <c r="K45" s="25">
        <v>38</v>
      </c>
    </row>
    <row r="46" spans="1:11">
      <c r="A46" s="2">
        <v>39</v>
      </c>
      <c r="B46" s="2">
        <v>1016</v>
      </c>
      <c r="C46" s="24">
        <v>2.4108796296296298E-2</v>
      </c>
      <c r="D46" s="25" t="s">
        <v>110</v>
      </c>
      <c r="E46" s="19">
        <v>0</v>
      </c>
      <c r="F46" s="25" t="s">
        <v>111</v>
      </c>
      <c r="G46" s="25" t="s">
        <v>111</v>
      </c>
      <c r="H46" s="25" t="s">
        <v>31</v>
      </c>
      <c r="I46" s="25" t="s">
        <v>111</v>
      </c>
      <c r="J46" s="25" t="s">
        <v>111</v>
      </c>
      <c r="K46" s="25" t="s">
        <v>111</v>
      </c>
    </row>
    <row r="47" spans="1:11">
      <c r="A47" s="2">
        <v>40</v>
      </c>
      <c r="B47" s="2">
        <v>617</v>
      </c>
      <c r="C47" s="24">
        <v>2.4120370370370372E-2</v>
      </c>
      <c r="D47" s="25" t="s">
        <v>112</v>
      </c>
      <c r="E47" s="19" t="s">
        <v>87</v>
      </c>
      <c r="F47" s="25" t="s">
        <v>88</v>
      </c>
      <c r="G47" s="25" t="s">
        <v>20</v>
      </c>
      <c r="H47" s="25" t="s">
        <v>21</v>
      </c>
      <c r="I47" s="25">
        <v>264</v>
      </c>
      <c r="J47" s="25" t="s">
        <v>113</v>
      </c>
      <c r="K47" s="25">
        <v>39</v>
      </c>
    </row>
    <row r="48" spans="1:11">
      <c r="A48" s="2">
        <v>41</v>
      </c>
      <c r="B48" s="2">
        <v>482</v>
      </c>
      <c r="C48" s="24">
        <v>2.4201388888888887E-2</v>
      </c>
      <c r="D48" s="25" t="s">
        <v>114</v>
      </c>
      <c r="E48" s="19" t="s">
        <v>56</v>
      </c>
      <c r="F48" s="25" t="s">
        <v>57</v>
      </c>
      <c r="G48" s="25" t="s">
        <v>58</v>
      </c>
      <c r="H48" s="25" t="s">
        <v>89</v>
      </c>
      <c r="I48" s="25">
        <v>198</v>
      </c>
      <c r="J48" s="25" t="s">
        <v>90</v>
      </c>
      <c r="K48" s="25">
        <v>40</v>
      </c>
    </row>
    <row r="49" spans="1:11">
      <c r="A49" s="2">
        <v>42</v>
      </c>
      <c r="B49" s="2">
        <v>107</v>
      </c>
      <c r="C49" s="24">
        <v>2.4224537037037034E-2</v>
      </c>
      <c r="D49" s="25" t="s">
        <v>115</v>
      </c>
      <c r="E49" s="19" t="s">
        <v>60</v>
      </c>
      <c r="F49" s="25" t="s">
        <v>61</v>
      </c>
      <c r="G49" s="25" t="s">
        <v>62</v>
      </c>
      <c r="H49" s="25" t="s">
        <v>105</v>
      </c>
      <c r="I49" s="25">
        <v>263</v>
      </c>
      <c r="J49" s="25" t="s">
        <v>106</v>
      </c>
      <c r="K49" s="25">
        <v>41</v>
      </c>
    </row>
    <row r="50" spans="1:11">
      <c r="A50" s="2">
        <v>43</v>
      </c>
      <c r="B50" s="2">
        <v>70</v>
      </c>
      <c r="C50" s="24">
        <v>2.4259259259259258E-2</v>
      </c>
      <c r="D50" s="25" t="s">
        <v>116</v>
      </c>
      <c r="E50" s="19" t="s">
        <v>117</v>
      </c>
      <c r="F50" s="25" t="s">
        <v>118</v>
      </c>
      <c r="G50" s="25" t="s">
        <v>118</v>
      </c>
      <c r="H50" s="25" t="s">
        <v>43</v>
      </c>
      <c r="I50" s="25">
        <v>262</v>
      </c>
      <c r="J50" s="25" t="s">
        <v>44</v>
      </c>
      <c r="K50" s="25">
        <v>42</v>
      </c>
    </row>
    <row r="51" spans="1:11">
      <c r="A51" s="2">
        <v>44</v>
      </c>
      <c r="B51" s="2">
        <v>924</v>
      </c>
      <c r="C51" s="24">
        <v>2.4363425925925927E-2</v>
      </c>
      <c r="D51" s="25" t="s">
        <v>119</v>
      </c>
      <c r="E51" s="19" t="s">
        <v>37</v>
      </c>
      <c r="F51" s="25" t="s">
        <v>38</v>
      </c>
      <c r="G51" s="25" t="s">
        <v>38</v>
      </c>
      <c r="H51" s="25" t="s">
        <v>54</v>
      </c>
      <c r="I51" s="25">
        <v>261</v>
      </c>
      <c r="J51" s="25" t="s">
        <v>120</v>
      </c>
      <c r="K51" s="25">
        <v>43</v>
      </c>
    </row>
    <row r="52" spans="1:11">
      <c r="A52" s="2">
        <v>45</v>
      </c>
      <c r="B52" s="2">
        <v>55</v>
      </c>
      <c r="C52" s="24">
        <v>2.4386574074074074E-2</v>
      </c>
      <c r="D52" s="25" t="s">
        <v>121</v>
      </c>
      <c r="E52" s="19" t="s">
        <v>117</v>
      </c>
      <c r="F52" s="25" t="s">
        <v>118</v>
      </c>
      <c r="G52" s="25" t="s">
        <v>118</v>
      </c>
      <c r="H52" s="25" t="s">
        <v>43</v>
      </c>
      <c r="I52" s="25">
        <v>260</v>
      </c>
      <c r="J52" s="25" t="s">
        <v>80</v>
      </c>
      <c r="K52" s="25">
        <v>44</v>
      </c>
    </row>
    <row r="53" spans="1:11">
      <c r="A53" s="2">
        <v>46</v>
      </c>
      <c r="B53" s="2">
        <v>164</v>
      </c>
      <c r="C53" s="24">
        <v>2.4467592592592593E-2</v>
      </c>
      <c r="D53" s="25" t="s">
        <v>122</v>
      </c>
      <c r="E53" s="19" t="s">
        <v>102</v>
      </c>
      <c r="F53" s="25" t="s">
        <v>103</v>
      </c>
      <c r="G53" s="25" t="s">
        <v>62</v>
      </c>
      <c r="H53" s="25" t="s">
        <v>89</v>
      </c>
      <c r="I53" s="25">
        <v>197</v>
      </c>
      <c r="J53" s="25" t="s">
        <v>90</v>
      </c>
      <c r="K53" s="25">
        <v>45</v>
      </c>
    </row>
    <row r="54" spans="1:11">
      <c r="A54" s="2">
        <v>47</v>
      </c>
      <c r="B54" s="2">
        <v>959</v>
      </c>
      <c r="C54" s="24">
        <v>2.4513888888888887E-2</v>
      </c>
      <c r="D54" s="25" t="s">
        <v>123</v>
      </c>
      <c r="E54" s="19" t="s">
        <v>24</v>
      </c>
      <c r="F54" s="25" t="s">
        <v>25</v>
      </c>
      <c r="G54" s="25" t="s">
        <v>26</v>
      </c>
      <c r="H54" s="25" t="s">
        <v>54</v>
      </c>
      <c r="I54" s="25">
        <v>259</v>
      </c>
      <c r="J54" s="25" t="s">
        <v>71</v>
      </c>
      <c r="K54" s="25">
        <v>46</v>
      </c>
    </row>
    <row r="55" spans="1:11">
      <c r="A55" s="2">
        <v>48</v>
      </c>
      <c r="B55" s="2">
        <v>174</v>
      </c>
      <c r="C55" s="24">
        <v>2.4733796296296295E-2</v>
      </c>
      <c r="D55" s="25" t="s">
        <v>124</v>
      </c>
      <c r="E55" s="19" t="s">
        <v>24</v>
      </c>
      <c r="F55" s="25" t="s">
        <v>25</v>
      </c>
      <c r="G55" s="25" t="s">
        <v>26</v>
      </c>
      <c r="H55" s="25" t="s">
        <v>79</v>
      </c>
      <c r="I55" s="25">
        <v>258</v>
      </c>
      <c r="J55" s="25" t="s">
        <v>44</v>
      </c>
      <c r="K55" s="25">
        <v>47</v>
      </c>
    </row>
    <row r="56" spans="1:11">
      <c r="A56" s="2">
        <v>49</v>
      </c>
      <c r="B56" s="2">
        <v>686</v>
      </c>
      <c r="C56" s="24">
        <v>2.479166666666667E-2</v>
      </c>
      <c r="D56" s="25" t="s">
        <v>125</v>
      </c>
      <c r="E56" s="19" t="s">
        <v>68</v>
      </c>
      <c r="F56" s="25" t="s">
        <v>69</v>
      </c>
      <c r="G56" s="25" t="s">
        <v>26</v>
      </c>
      <c r="H56" s="25" t="s">
        <v>79</v>
      </c>
      <c r="I56" s="25">
        <v>257</v>
      </c>
      <c r="J56" s="25" t="s">
        <v>80</v>
      </c>
      <c r="K56" s="25">
        <v>48</v>
      </c>
    </row>
    <row r="57" spans="1:11">
      <c r="A57" s="2">
        <v>50</v>
      </c>
      <c r="B57" s="2">
        <v>581</v>
      </c>
      <c r="C57" s="24">
        <v>2.4837962962962964E-2</v>
      </c>
      <c r="D57" s="25" t="s">
        <v>126</v>
      </c>
      <c r="E57" s="19" t="s">
        <v>18</v>
      </c>
      <c r="F57" s="25" t="s">
        <v>19</v>
      </c>
      <c r="G57" s="25" t="s">
        <v>20</v>
      </c>
      <c r="H57" s="25" t="s">
        <v>43</v>
      </c>
      <c r="I57" s="25">
        <v>256</v>
      </c>
      <c r="J57" s="25" t="s">
        <v>127</v>
      </c>
      <c r="K57" s="25">
        <v>49</v>
      </c>
    </row>
    <row r="58" spans="1:11">
      <c r="A58" s="2">
        <v>51</v>
      </c>
      <c r="B58" s="2">
        <v>19</v>
      </c>
      <c r="C58" s="24">
        <v>2.4849537037037035E-2</v>
      </c>
      <c r="D58" s="25" t="s">
        <v>128</v>
      </c>
      <c r="E58" s="19" t="s">
        <v>92</v>
      </c>
      <c r="F58" s="25" t="s">
        <v>93</v>
      </c>
      <c r="G58" s="25" t="s">
        <v>93</v>
      </c>
      <c r="H58" s="25" t="s">
        <v>129</v>
      </c>
      <c r="I58" s="25">
        <v>196</v>
      </c>
      <c r="J58" s="25" t="s">
        <v>130</v>
      </c>
      <c r="K58" s="25">
        <v>50</v>
      </c>
    </row>
    <row r="59" spans="1:11">
      <c r="A59" s="2">
        <v>52</v>
      </c>
      <c r="B59" s="2">
        <v>555</v>
      </c>
      <c r="C59" s="24">
        <v>2.494212962962963E-2</v>
      </c>
      <c r="D59" s="25" t="s">
        <v>131</v>
      </c>
      <c r="E59" s="19" t="s">
        <v>65</v>
      </c>
      <c r="F59" s="25" t="s">
        <v>66</v>
      </c>
      <c r="G59" s="25" t="s">
        <v>66</v>
      </c>
      <c r="H59" s="25" t="s">
        <v>39</v>
      </c>
      <c r="I59" s="25">
        <v>255</v>
      </c>
      <c r="J59" s="25" t="s">
        <v>40</v>
      </c>
      <c r="K59" s="25">
        <v>51</v>
      </c>
    </row>
    <row r="60" spans="1:11">
      <c r="A60" s="2">
        <v>53</v>
      </c>
      <c r="B60" s="2">
        <v>823</v>
      </c>
      <c r="C60" s="24">
        <v>2.5104166666666664E-2</v>
      </c>
      <c r="D60" s="25" t="s">
        <v>132</v>
      </c>
      <c r="E60" s="19" t="s">
        <v>133</v>
      </c>
      <c r="F60" s="25" t="s">
        <v>134</v>
      </c>
      <c r="G60" s="25" t="s">
        <v>62</v>
      </c>
      <c r="H60" s="25" t="s">
        <v>79</v>
      </c>
      <c r="I60" s="25">
        <v>254</v>
      </c>
      <c r="J60" s="25" t="s">
        <v>127</v>
      </c>
      <c r="K60" s="25">
        <v>52</v>
      </c>
    </row>
    <row r="61" spans="1:11">
      <c r="A61" s="2">
        <v>54</v>
      </c>
      <c r="B61" s="2">
        <v>400</v>
      </c>
      <c r="C61" s="24">
        <v>2.5208333333333333E-2</v>
      </c>
      <c r="D61" s="25" t="s">
        <v>135</v>
      </c>
      <c r="E61" s="19" t="s">
        <v>37</v>
      </c>
      <c r="F61" s="25" t="s">
        <v>38</v>
      </c>
      <c r="G61" s="25" t="s">
        <v>38</v>
      </c>
      <c r="H61" s="25" t="s">
        <v>39</v>
      </c>
      <c r="I61" s="25">
        <v>253</v>
      </c>
      <c r="J61" s="25" t="s">
        <v>32</v>
      </c>
      <c r="K61" s="25">
        <v>53</v>
      </c>
    </row>
    <row r="62" spans="1:11">
      <c r="A62" s="2">
        <v>55</v>
      </c>
      <c r="B62" s="2">
        <v>411</v>
      </c>
      <c r="C62" s="24">
        <v>2.5312500000000002E-2</v>
      </c>
      <c r="D62" s="25" t="s">
        <v>136</v>
      </c>
      <c r="E62" s="19" t="s">
        <v>37</v>
      </c>
      <c r="F62" s="25" t="s">
        <v>38</v>
      </c>
      <c r="G62" s="25" t="s">
        <v>38</v>
      </c>
      <c r="H62" s="25" t="s">
        <v>79</v>
      </c>
      <c r="I62" s="25">
        <v>252</v>
      </c>
      <c r="J62" s="25" t="s">
        <v>44</v>
      </c>
      <c r="K62" s="25">
        <v>54</v>
      </c>
    </row>
    <row r="63" spans="1:11">
      <c r="A63" s="2">
        <v>56</v>
      </c>
      <c r="B63" s="2">
        <v>563</v>
      </c>
      <c r="C63" s="24">
        <v>2.5810185185185183E-2</v>
      </c>
      <c r="D63" s="25" t="s">
        <v>137</v>
      </c>
      <c r="E63" s="19" t="s">
        <v>18</v>
      </c>
      <c r="F63" s="25" t="s">
        <v>19</v>
      </c>
      <c r="G63" s="25" t="s">
        <v>20</v>
      </c>
      <c r="H63" s="25" t="s">
        <v>43</v>
      </c>
      <c r="I63" s="25">
        <v>251</v>
      </c>
      <c r="J63" s="25" t="s">
        <v>40</v>
      </c>
      <c r="K63" s="25">
        <v>55</v>
      </c>
    </row>
    <row r="64" spans="1:11">
      <c r="A64" s="2">
        <v>57</v>
      </c>
      <c r="B64" s="2">
        <v>551</v>
      </c>
      <c r="C64" s="24">
        <v>2.5891203703703704E-2</v>
      </c>
      <c r="D64" s="25" t="s">
        <v>138</v>
      </c>
      <c r="E64" s="19" t="s">
        <v>65</v>
      </c>
      <c r="F64" s="25" t="s">
        <v>66</v>
      </c>
      <c r="G64" s="25" t="s">
        <v>66</v>
      </c>
      <c r="H64" s="25" t="s">
        <v>54</v>
      </c>
      <c r="I64" s="25">
        <v>250</v>
      </c>
      <c r="J64" s="25" t="s">
        <v>71</v>
      </c>
      <c r="K64" s="25">
        <v>56</v>
      </c>
    </row>
    <row r="65" spans="1:11">
      <c r="A65" s="2">
        <v>58</v>
      </c>
      <c r="B65" s="2">
        <v>938</v>
      </c>
      <c r="C65" s="24">
        <v>2.5902777777777775E-2</v>
      </c>
      <c r="D65" s="25" t="s">
        <v>139</v>
      </c>
      <c r="E65" s="19" t="s">
        <v>83</v>
      </c>
      <c r="F65" s="25" t="s">
        <v>84</v>
      </c>
      <c r="G65" s="25" t="s">
        <v>84</v>
      </c>
      <c r="H65" s="25" t="s">
        <v>140</v>
      </c>
      <c r="I65" s="25">
        <v>195</v>
      </c>
      <c r="J65" s="25" t="s">
        <v>141</v>
      </c>
      <c r="K65" s="25">
        <v>57</v>
      </c>
    </row>
    <row r="66" spans="1:11">
      <c r="A66" s="2">
        <v>59</v>
      </c>
      <c r="B66" s="2">
        <v>635</v>
      </c>
      <c r="C66" s="24">
        <v>2.5949074074074072E-2</v>
      </c>
      <c r="D66" s="25" t="s">
        <v>142</v>
      </c>
      <c r="E66" s="19" t="s">
        <v>87</v>
      </c>
      <c r="F66" s="25" t="s">
        <v>88</v>
      </c>
      <c r="G66" s="25" t="s">
        <v>20</v>
      </c>
      <c r="H66" s="25" t="s">
        <v>109</v>
      </c>
      <c r="I66" s="25">
        <v>194</v>
      </c>
      <c r="J66" s="25" t="s">
        <v>143</v>
      </c>
      <c r="K66" s="25">
        <v>58</v>
      </c>
    </row>
    <row r="67" spans="1:11">
      <c r="A67" s="2">
        <v>60</v>
      </c>
      <c r="B67" s="2">
        <v>47</v>
      </c>
      <c r="C67" s="24">
        <v>2.6203703703703705E-2</v>
      </c>
      <c r="D67" s="25" t="s">
        <v>144</v>
      </c>
      <c r="E67" s="19" t="s">
        <v>117</v>
      </c>
      <c r="F67" s="25" t="s">
        <v>118</v>
      </c>
      <c r="G67" s="25" t="s">
        <v>118</v>
      </c>
      <c r="H67" s="25" t="s">
        <v>140</v>
      </c>
      <c r="I67" s="25">
        <v>193</v>
      </c>
      <c r="J67" s="25" t="s">
        <v>141</v>
      </c>
      <c r="K67" s="25">
        <v>59</v>
      </c>
    </row>
    <row r="68" spans="1:11">
      <c r="A68" s="2">
        <v>61</v>
      </c>
      <c r="B68" s="2">
        <v>317</v>
      </c>
      <c r="C68" s="24">
        <v>2.6215277777777778E-2</v>
      </c>
      <c r="D68" s="25" t="s">
        <v>145</v>
      </c>
      <c r="E68" s="19" t="s">
        <v>75</v>
      </c>
      <c r="F68" s="25" t="s">
        <v>76</v>
      </c>
      <c r="G68" s="25" t="s">
        <v>76</v>
      </c>
      <c r="H68" s="25" t="s">
        <v>21</v>
      </c>
      <c r="I68" s="25">
        <v>249</v>
      </c>
      <c r="J68" s="25" t="s">
        <v>32</v>
      </c>
      <c r="K68" s="25">
        <v>60</v>
      </c>
    </row>
    <row r="69" spans="1:11">
      <c r="A69" s="2">
        <v>62</v>
      </c>
      <c r="B69" s="2">
        <v>698</v>
      </c>
      <c r="C69" s="24">
        <v>2.6284722222222223E-2</v>
      </c>
      <c r="D69" s="25" t="s">
        <v>146</v>
      </c>
      <c r="E69" s="19" t="s">
        <v>28</v>
      </c>
      <c r="F69" s="25" t="s">
        <v>29</v>
      </c>
      <c r="G69" s="25" t="s">
        <v>29</v>
      </c>
      <c r="H69" s="25" t="s">
        <v>31</v>
      </c>
      <c r="I69" s="25">
        <v>248</v>
      </c>
      <c r="J69" s="25" t="s">
        <v>97</v>
      </c>
      <c r="K69" s="25">
        <v>61</v>
      </c>
    </row>
    <row r="70" spans="1:11">
      <c r="A70" s="2">
        <v>63</v>
      </c>
      <c r="B70" s="2">
        <v>320</v>
      </c>
      <c r="C70" s="24">
        <v>2.6284722222222223E-2</v>
      </c>
      <c r="D70" s="25" t="s">
        <v>147</v>
      </c>
      <c r="E70" s="19" t="s">
        <v>75</v>
      </c>
      <c r="F70" s="25" t="s">
        <v>76</v>
      </c>
      <c r="G70" s="25" t="s">
        <v>76</v>
      </c>
      <c r="H70" s="25" t="s">
        <v>21</v>
      </c>
      <c r="I70" s="25">
        <v>247</v>
      </c>
      <c r="J70" s="25" t="s">
        <v>35</v>
      </c>
      <c r="K70" s="25">
        <v>62</v>
      </c>
    </row>
    <row r="71" spans="1:11">
      <c r="A71" s="2">
        <v>64</v>
      </c>
      <c r="B71" s="2">
        <v>585</v>
      </c>
      <c r="C71" s="24">
        <v>2.6331018518518517E-2</v>
      </c>
      <c r="D71" s="25" t="s">
        <v>148</v>
      </c>
      <c r="E71" s="19" t="s">
        <v>87</v>
      </c>
      <c r="F71" s="25" t="s">
        <v>88</v>
      </c>
      <c r="G71" s="25" t="s">
        <v>20</v>
      </c>
      <c r="H71" s="25" t="s">
        <v>105</v>
      </c>
      <c r="I71" s="25">
        <v>246</v>
      </c>
      <c r="J71" s="25" t="s">
        <v>149</v>
      </c>
      <c r="K71" s="25">
        <v>63</v>
      </c>
    </row>
    <row r="72" spans="1:11">
      <c r="A72" s="2">
        <v>65</v>
      </c>
      <c r="B72" s="2">
        <v>465</v>
      </c>
      <c r="C72" s="24">
        <v>2.6412037037037036E-2</v>
      </c>
      <c r="D72" s="25" t="s">
        <v>150</v>
      </c>
      <c r="E72" s="19" t="s">
        <v>56</v>
      </c>
      <c r="F72" s="25" t="s">
        <v>57</v>
      </c>
      <c r="G72" s="25" t="s">
        <v>58</v>
      </c>
      <c r="H72" s="25" t="s">
        <v>151</v>
      </c>
      <c r="I72" s="25">
        <v>192</v>
      </c>
      <c r="J72" s="25" t="s">
        <v>141</v>
      </c>
      <c r="K72" s="25">
        <v>64</v>
      </c>
    </row>
    <row r="73" spans="1:11">
      <c r="A73" s="2">
        <v>66</v>
      </c>
      <c r="B73" s="2">
        <v>619</v>
      </c>
      <c r="C73" s="24">
        <v>2.6504629629629628E-2</v>
      </c>
      <c r="D73" s="25" t="s">
        <v>152</v>
      </c>
      <c r="E73" s="19" t="s">
        <v>87</v>
      </c>
      <c r="F73" s="25" t="s">
        <v>88</v>
      </c>
      <c r="G73" s="25" t="s">
        <v>20</v>
      </c>
      <c r="H73" s="25" t="s">
        <v>79</v>
      </c>
      <c r="I73" s="25">
        <v>245</v>
      </c>
      <c r="J73" s="25" t="s">
        <v>71</v>
      </c>
      <c r="K73" s="25">
        <v>65</v>
      </c>
    </row>
    <row r="74" spans="1:11">
      <c r="A74" s="2">
        <v>67</v>
      </c>
      <c r="B74" s="2">
        <v>526</v>
      </c>
      <c r="C74" s="24">
        <v>2.6620370370370374E-2</v>
      </c>
      <c r="D74" s="25" t="s">
        <v>153</v>
      </c>
      <c r="E74" s="19" t="s">
        <v>65</v>
      </c>
      <c r="F74" s="25" t="s">
        <v>66</v>
      </c>
      <c r="G74" s="25" t="s">
        <v>66</v>
      </c>
      <c r="H74" s="25" t="s">
        <v>151</v>
      </c>
      <c r="I74" s="25">
        <v>191</v>
      </c>
      <c r="J74" s="25" t="s">
        <v>141</v>
      </c>
      <c r="K74" s="25">
        <v>66</v>
      </c>
    </row>
    <row r="75" spans="1:11">
      <c r="A75" s="2">
        <v>68</v>
      </c>
      <c r="B75" s="2">
        <v>1007</v>
      </c>
      <c r="C75" s="24">
        <v>2.6655092592592591E-2</v>
      </c>
      <c r="D75" s="25" t="s">
        <v>154</v>
      </c>
      <c r="E75" s="19" t="s">
        <v>75</v>
      </c>
      <c r="F75" s="25" t="s">
        <v>76</v>
      </c>
      <c r="G75" s="25" t="s">
        <v>76</v>
      </c>
      <c r="H75" s="25" t="s">
        <v>21</v>
      </c>
      <c r="I75" s="25">
        <v>244</v>
      </c>
      <c r="J75" s="25" t="s">
        <v>97</v>
      </c>
      <c r="K75" s="25">
        <v>67</v>
      </c>
    </row>
    <row r="76" spans="1:11">
      <c r="A76" s="2">
        <v>69</v>
      </c>
      <c r="B76" s="2">
        <v>231</v>
      </c>
      <c r="C76" s="24">
        <v>2.6701388888888889E-2</v>
      </c>
      <c r="D76" s="25" t="s">
        <v>155</v>
      </c>
      <c r="E76" s="19" t="s">
        <v>46</v>
      </c>
      <c r="F76" s="25" t="s">
        <v>47</v>
      </c>
      <c r="G76" s="25" t="s">
        <v>47</v>
      </c>
      <c r="H76" s="25" t="s">
        <v>156</v>
      </c>
      <c r="I76" s="25">
        <v>243</v>
      </c>
      <c r="J76" s="25" t="s">
        <v>106</v>
      </c>
      <c r="K76" s="25">
        <v>68</v>
      </c>
    </row>
    <row r="77" spans="1:11">
      <c r="A77" s="2">
        <v>70</v>
      </c>
      <c r="B77" s="2">
        <v>640</v>
      </c>
      <c r="C77" s="24">
        <v>2.6712962962962966E-2</v>
      </c>
      <c r="D77" s="25" t="s">
        <v>157</v>
      </c>
      <c r="E77" s="19" t="s">
        <v>87</v>
      </c>
      <c r="F77" s="25" t="s">
        <v>88</v>
      </c>
      <c r="G77" s="25" t="s">
        <v>20</v>
      </c>
      <c r="H77" s="25" t="s">
        <v>43</v>
      </c>
      <c r="I77" s="25">
        <v>242</v>
      </c>
      <c r="J77" s="25" t="s">
        <v>120</v>
      </c>
      <c r="K77" s="25">
        <v>69</v>
      </c>
    </row>
    <row r="78" spans="1:11">
      <c r="A78" s="2">
        <v>71</v>
      </c>
      <c r="B78" s="2">
        <v>609</v>
      </c>
      <c r="C78" s="24">
        <v>2.6759259259259257E-2</v>
      </c>
      <c r="D78" s="25" t="s">
        <v>158</v>
      </c>
      <c r="E78" s="19" t="s">
        <v>87</v>
      </c>
      <c r="F78" s="25" t="s">
        <v>88</v>
      </c>
      <c r="G78" s="25" t="s">
        <v>20</v>
      </c>
      <c r="H78" s="25" t="s">
        <v>105</v>
      </c>
      <c r="I78" s="25">
        <v>241</v>
      </c>
      <c r="J78" s="25" t="s">
        <v>159</v>
      </c>
      <c r="K78" s="25">
        <v>70</v>
      </c>
    </row>
    <row r="79" spans="1:11">
      <c r="A79" s="2">
        <v>72</v>
      </c>
      <c r="B79" s="2">
        <v>802</v>
      </c>
      <c r="C79" s="24">
        <v>2.6805555555555555E-2</v>
      </c>
      <c r="D79" s="25" t="s">
        <v>160</v>
      </c>
      <c r="E79" s="19" t="s">
        <v>161</v>
      </c>
      <c r="F79" s="25" t="s">
        <v>162</v>
      </c>
      <c r="G79" s="25" t="s">
        <v>162</v>
      </c>
      <c r="H79" s="25" t="s">
        <v>43</v>
      </c>
      <c r="I79" s="25">
        <v>240</v>
      </c>
      <c r="J79" s="25" t="s">
        <v>44</v>
      </c>
      <c r="K79" s="25">
        <v>71</v>
      </c>
    </row>
    <row r="80" spans="1:11">
      <c r="A80" s="2">
        <v>73</v>
      </c>
      <c r="B80" s="2">
        <v>754</v>
      </c>
      <c r="C80" s="24">
        <v>2.6817129629629632E-2</v>
      </c>
      <c r="D80" s="25" t="s">
        <v>163</v>
      </c>
      <c r="E80" s="19" t="s">
        <v>49</v>
      </c>
      <c r="F80" s="25" t="s">
        <v>50</v>
      </c>
      <c r="G80" s="25" t="s">
        <v>50</v>
      </c>
      <c r="H80" s="25" t="s">
        <v>43</v>
      </c>
      <c r="I80" s="25">
        <v>239</v>
      </c>
      <c r="J80" s="25" t="s">
        <v>127</v>
      </c>
      <c r="K80" s="25">
        <v>72</v>
      </c>
    </row>
    <row r="81" spans="1:11">
      <c r="A81" s="2">
        <v>74</v>
      </c>
      <c r="B81" s="2">
        <v>710</v>
      </c>
      <c r="C81" s="24">
        <v>2.6944444444444441E-2</v>
      </c>
      <c r="D81" s="25" t="s">
        <v>164</v>
      </c>
      <c r="E81" s="19" t="s">
        <v>28</v>
      </c>
      <c r="F81" s="25" t="s">
        <v>29</v>
      </c>
      <c r="G81" s="25" t="s">
        <v>29</v>
      </c>
      <c r="H81" s="25" t="s">
        <v>39</v>
      </c>
      <c r="I81" s="25">
        <v>238</v>
      </c>
      <c r="J81" s="25" t="s">
        <v>71</v>
      </c>
      <c r="K81" s="25">
        <v>73</v>
      </c>
    </row>
    <row r="82" spans="1:11">
      <c r="A82" s="2">
        <v>75</v>
      </c>
      <c r="B82" s="2">
        <v>313</v>
      </c>
      <c r="C82" s="24">
        <v>2.7025462962962959E-2</v>
      </c>
      <c r="D82" s="25" t="s">
        <v>165</v>
      </c>
      <c r="E82" s="19" t="s">
        <v>75</v>
      </c>
      <c r="F82" s="25" t="s">
        <v>76</v>
      </c>
      <c r="G82" s="25" t="s">
        <v>76</v>
      </c>
      <c r="H82" s="25" t="s">
        <v>31</v>
      </c>
      <c r="I82" s="25">
        <v>237</v>
      </c>
      <c r="J82" s="25" t="s">
        <v>113</v>
      </c>
      <c r="K82" s="25">
        <v>74</v>
      </c>
    </row>
    <row r="83" spans="1:11">
      <c r="A83" s="2">
        <v>76</v>
      </c>
      <c r="B83" s="2">
        <v>743</v>
      </c>
      <c r="C83" s="24">
        <v>2.7083333333333334E-2</v>
      </c>
      <c r="D83" s="25" t="s">
        <v>166</v>
      </c>
      <c r="E83" s="19" t="s">
        <v>49</v>
      </c>
      <c r="F83" s="25" t="s">
        <v>50</v>
      </c>
      <c r="G83" s="25" t="s">
        <v>50</v>
      </c>
      <c r="H83" s="25" t="s">
        <v>151</v>
      </c>
      <c r="I83" s="25">
        <v>190</v>
      </c>
      <c r="J83" s="25" t="s">
        <v>141</v>
      </c>
      <c r="K83" s="25">
        <v>75</v>
      </c>
    </row>
    <row r="84" spans="1:11">
      <c r="A84" s="2">
        <v>77</v>
      </c>
      <c r="B84" s="2">
        <v>13</v>
      </c>
      <c r="C84" s="24">
        <v>2.7118055555555552E-2</v>
      </c>
      <c r="D84" s="25" t="s">
        <v>167</v>
      </c>
      <c r="E84" s="19" t="s">
        <v>92</v>
      </c>
      <c r="F84" s="25" t="s">
        <v>93</v>
      </c>
      <c r="G84" s="25" t="s">
        <v>93</v>
      </c>
      <c r="H84" s="25" t="s">
        <v>105</v>
      </c>
      <c r="I84" s="25">
        <v>236</v>
      </c>
      <c r="J84" s="25" t="s">
        <v>106</v>
      </c>
      <c r="K84" s="25">
        <v>76</v>
      </c>
    </row>
    <row r="85" spans="1:11">
      <c r="A85" s="2">
        <v>78</v>
      </c>
      <c r="B85" s="2">
        <v>524</v>
      </c>
      <c r="C85" s="24">
        <v>2.7129629629629632E-2</v>
      </c>
      <c r="D85" s="25" t="s">
        <v>168</v>
      </c>
      <c r="E85" s="19" t="s">
        <v>65</v>
      </c>
      <c r="F85" s="25" t="s">
        <v>66</v>
      </c>
      <c r="G85" s="25" t="s">
        <v>66</v>
      </c>
      <c r="H85" s="25" t="s">
        <v>39</v>
      </c>
      <c r="I85" s="25">
        <v>235</v>
      </c>
      <c r="J85" s="25" t="s">
        <v>120</v>
      </c>
      <c r="K85" s="25">
        <v>77</v>
      </c>
    </row>
    <row r="86" spans="1:11">
      <c r="A86" s="2">
        <v>79</v>
      </c>
      <c r="B86" s="2">
        <v>272</v>
      </c>
      <c r="C86" s="24">
        <v>2.7129629629629632E-2</v>
      </c>
      <c r="D86" s="25" t="s">
        <v>169</v>
      </c>
      <c r="E86" s="19" t="s">
        <v>83</v>
      </c>
      <c r="F86" s="25" t="s">
        <v>84</v>
      </c>
      <c r="G86" s="25" t="s">
        <v>84</v>
      </c>
      <c r="H86" s="25" t="s">
        <v>39</v>
      </c>
      <c r="I86" s="25">
        <v>234</v>
      </c>
      <c r="J86" s="25" t="s">
        <v>40</v>
      </c>
      <c r="K86" s="25">
        <v>78</v>
      </c>
    </row>
    <row r="87" spans="1:11">
      <c r="A87" s="2">
        <v>80</v>
      </c>
      <c r="B87" s="2">
        <v>118</v>
      </c>
      <c r="C87" s="24">
        <v>2.7141203703703706E-2</v>
      </c>
      <c r="D87" s="25" t="s">
        <v>170</v>
      </c>
      <c r="E87" s="19" t="s">
        <v>60</v>
      </c>
      <c r="F87" s="25" t="s">
        <v>61</v>
      </c>
      <c r="G87" s="25" t="s">
        <v>62</v>
      </c>
      <c r="H87" s="25" t="s">
        <v>79</v>
      </c>
      <c r="I87" s="25">
        <v>233</v>
      </c>
      <c r="J87" s="25" t="s">
        <v>40</v>
      </c>
      <c r="K87" s="25">
        <v>79</v>
      </c>
    </row>
    <row r="88" spans="1:11">
      <c r="A88" s="2">
        <v>81</v>
      </c>
      <c r="B88" s="2">
        <v>310</v>
      </c>
      <c r="C88" s="24">
        <v>2.7175925925925926E-2</v>
      </c>
      <c r="D88" s="25" t="s">
        <v>171</v>
      </c>
      <c r="E88" s="19" t="s">
        <v>75</v>
      </c>
      <c r="F88" s="25" t="s">
        <v>76</v>
      </c>
      <c r="G88" s="25" t="s">
        <v>76</v>
      </c>
      <c r="H88" s="25" t="s">
        <v>54</v>
      </c>
      <c r="I88" s="25">
        <v>232</v>
      </c>
      <c r="J88" s="25" t="s">
        <v>71</v>
      </c>
      <c r="K88" s="25">
        <v>80</v>
      </c>
    </row>
    <row r="89" spans="1:11">
      <c r="A89" s="2">
        <v>82</v>
      </c>
      <c r="B89" s="2">
        <v>723</v>
      </c>
      <c r="C89" s="24">
        <v>2.7233796296296298E-2</v>
      </c>
      <c r="D89" s="25" t="s">
        <v>172</v>
      </c>
      <c r="E89" s="19" t="s">
        <v>49</v>
      </c>
      <c r="F89" s="25" t="s">
        <v>50</v>
      </c>
      <c r="G89" s="25" t="s">
        <v>50</v>
      </c>
      <c r="H89" s="25" t="s">
        <v>156</v>
      </c>
      <c r="I89" s="25">
        <v>231</v>
      </c>
      <c r="J89" s="25" t="s">
        <v>106</v>
      </c>
      <c r="K89" s="25">
        <v>81</v>
      </c>
    </row>
    <row r="90" spans="1:11">
      <c r="A90" s="2">
        <v>83</v>
      </c>
      <c r="B90" s="2">
        <v>315</v>
      </c>
      <c r="C90" s="24">
        <v>2.7476851851851853E-2</v>
      </c>
      <c r="D90" s="25" t="s">
        <v>173</v>
      </c>
      <c r="E90" s="19" t="s">
        <v>75</v>
      </c>
      <c r="F90" s="25" t="s">
        <v>76</v>
      </c>
      <c r="G90" s="25" t="s">
        <v>76</v>
      </c>
      <c r="H90" s="25" t="s">
        <v>89</v>
      </c>
      <c r="I90" s="25">
        <v>189</v>
      </c>
      <c r="J90" s="25" t="s">
        <v>90</v>
      </c>
      <c r="K90" s="25">
        <v>82</v>
      </c>
    </row>
    <row r="91" spans="1:11">
      <c r="A91" s="2">
        <v>84</v>
      </c>
      <c r="B91" s="2">
        <v>910</v>
      </c>
      <c r="C91" s="24">
        <v>2.7488425925925927E-2</v>
      </c>
      <c r="D91" s="25" t="s">
        <v>174</v>
      </c>
      <c r="E91" s="19" t="s">
        <v>56</v>
      </c>
      <c r="F91" s="25" t="s">
        <v>57</v>
      </c>
      <c r="G91" s="25" t="s">
        <v>58</v>
      </c>
      <c r="H91" s="25" t="s">
        <v>89</v>
      </c>
      <c r="I91" s="25">
        <v>188</v>
      </c>
      <c r="J91" s="25" t="s">
        <v>143</v>
      </c>
      <c r="K91" s="25">
        <v>83</v>
      </c>
    </row>
    <row r="92" spans="1:11">
      <c r="A92" s="2">
        <v>85</v>
      </c>
      <c r="B92" s="2">
        <v>870</v>
      </c>
      <c r="C92" s="24">
        <v>2.7523148148148147E-2</v>
      </c>
      <c r="D92" s="25" t="s">
        <v>175</v>
      </c>
      <c r="E92" s="19" t="s">
        <v>87</v>
      </c>
      <c r="F92" s="25" t="s">
        <v>88</v>
      </c>
      <c r="G92" s="25" t="s">
        <v>20</v>
      </c>
      <c r="H92" s="25" t="s">
        <v>39</v>
      </c>
      <c r="I92" s="25">
        <v>230</v>
      </c>
      <c r="J92" s="25" t="s">
        <v>176</v>
      </c>
      <c r="K92" s="25">
        <v>84</v>
      </c>
    </row>
    <row r="93" spans="1:11">
      <c r="A93" s="2">
        <v>86</v>
      </c>
      <c r="B93" s="2">
        <v>90</v>
      </c>
      <c r="C93" s="24">
        <v>2.7650462962962963E-2</v>
      </c>
      <c r="D93" s="25" t="s">
        <v>177</v>
      </c>
      <c r="E93" s="19" t="s">
        <v>117</v>
      </c>
      <c r="F93" s="25" t="s">
        <v>118</v>
      </c>
      <c r="G93" s="25" t="s">
        <v>118</v>
      </c>
      <c r="H93" s="25" t="s">
        <v>105</v>
      </c>
      <c r="I93" s="25">
        <v>229</v>
      </c>
      <c r="J93" s="25" t="s">
        <v>106</v>
      </c>
      <c r="K93" s="25">
        <v>85</v>
      </c>
    </row>
    <row r="94" spans="1:11">
      <c r="A94" s="2">
        <v>87</v>
      </c>
      <c r="B94" s="2">
        <v>259</v>
      </c>
      <c r="C94" s="24">
        <v>2.7847222222222221E-2</v>
      </c>
      <c r="D94" s="25" t="s">
        <v>178</v>
      </c>
      <c r="E94" s="19" t="s">
        <v>52</v>
      </c>
      <c r="F94" s="25" t="s">
        <v>53</v>
      </c>
      <c r="G94" s="25" t="s">
        <v>53</v>
      </c>
      <c r="H94" s="25" t="s">
        <v>156</v>
      </c>
      <c r="I94" s="25">
        <v>228</v>
      </c>
      <c r="J94" s="25" t="s">
        <v>106</v>
      </c>
      <c r="K94" s="25">
        <v>86</v>
      </c>
    </row>
    <row r="95" spans="1:11">
      <c r="A95" s="2">
        <v>88</v>
      </c>
      <c r="B95" s="2">
        <v>452</v>
      </c>
      <c r="C95" s="24">
        <v>2.7916666666666669E-2</v>
      </c>
      <c r="D95" s="25" t="s">
        <v>179</v>
      </c>
      <c r="E95" s="19" t="s">
        <v>56</v>
      </c>
      <c r="F95" s="25" t="s">
        <v>57</v>
      </c>
      <c r="G95" s="25" t="s">
        <v>58</v>
      </c>
      <c r="H95" s="25" t="s">
        <v>180</v>
      </c>
      <c r="I95" s="25">
        <v>187</v>
      </c>
      <c r="J95" s="25" t="s">
        <v>130</v>
      </c>
      <c r="K95" s="25">
        <v>87</v>
      </c>
    </row>
    <row r="96" spans="1:11">
      <c r="A96" s="2">
        <v>89</v>
      </c>
      <c r="B96" s="2">
        <v>955</v>
      </c>
      <c r="C96" s="24">
        <v>2.7928240740740743E-2</v>
      </c>
      <c r="D96" s="25" t="s">
        <v>181</v>
      </c>
      <c r="E96" s="19" t="s">
        <v>87</v>
      </c>
      <c r="F96" s="25" t="s">
        <v>88</v>
      </c>
      <c r="G96" s="25" t="s">
        <v>20</v>
      </c>
      <c r="H96" s="25" t="s">
        <v>21</v>
      </c>
      <c r="I96" s="25">
        <v>227</v>
      </c>
      <c r="J96" s="25" t="s">
        <v>182</v>
      </c>
      <c r="K96" s="25">
        <v>88</v>
      </c>
    </row>
    <row r="97" spans="1:11">
      <c r="A97" s="2">
        <v>90</v>
      </c>
      <c r="B97" s="2">
        <v>540</v>
      </c>
      <c r="C97" s="24">
        <v>2.7939814814814817E-2</v>
      </c>
      <c r="D97" s="25" t="s">
        <v>183</v>
      </c>
      <c r="E97" s="19" t="s">
        <v>65</v>
      </c>
      <c r="F97" s="25" t="s">
        <v>66</v>
      </c>
      <c r="G97" s="25" t="s">
        <v>66</v>
      </c>
      <c r="H97" s="25" t="s">
        <v>156</v>
      </c>
      <c r="I97" s="25">
        <v>226</v>
      </c>
      <c r="J97" s="25" t="s">
        <v>106</v>
      </c>
      <c r="K97" s="25">
        <v>89</v>
      </c>
    </row>
    <row r="98" spans="1:11">
      <c r="A98" s="2">
        <v>91</v>
      </c>
      <c r="B98" s="2">
        <v>124</v>
      </c>
      <c r="C98" s="24">
        <v>2.8009259259259262E-2</v>
      </c>
      <c r="D98" s="25" t="s">
        <v>184</v>
      </c>
      <c r="E98" s="19" t="s">
        <v>60</v>
      </c>
      <c r="F98" s="25" t="s">
        <v>61</v>
      </c>
      <c r="G98" s="25" t="s">
        <v>62</v>
      </c>
      <c r="H98" s="25" t="s">
        <v>43</v>
      </c>
      <c r="I98" s="25">
        <v>225</v>
      </c>
      <c r="J98" s="25" t="s">
        <v>71</v>
      </c>
      <c r="K98" s="25">
        <v>90</v>
      </c>
    </row>
    <row r="99" spans="1:11">
      <c r="A99" s="2">
        <v>92</v>
      </c>
      <c r="B99" s="2">
        <v>610</v>
      </c>
      <c r="C99" s="24">
        <v>2.8032407407407409E-2</v>
      </c>
      <c r="D99" s="25" t="s">
        <v>185</v>
      </c>
      <c r="E99" s="19" t="s">
        <v>87</v>
      </c>
      <c r="F99" s="25" t="s">
        <v>88</v>
      </c>
      <c r="G99" s="25" t="s">
        <v>20</v>
      </c>
      <c r="H99" s="25" t="s">
        <v>39</v>
      </c>
      <c r="I99" s="25">
        <v>224</v>
      </c>
      <c r="J99" s="25" t="s">
        <v>186</v>
      </c>
      <c r="K99" s="25">
        <v>91</v>
      </c>
    </row>
    <row r="100" spans="1:11">
      <c r="A100" s="2">
        <v>93</v>
      </c>
      <c r="B100" s="2">
        <v>198</v>
      </c>
      <c r="C100" s="24">
        <v>2.8113425925925927E-2</v>
      </c>
      <c r="D100" s="25" t="s">
        <v>187</v>
      </c>
      <c r="E100" s="19" t="s">
        <v>46</v>
      </c>
      <c r="F100" s="25" t="s">
        <v>47</v>
      </c>
      <c r="G100" s="25" t="s">
        <v>47</v>
      </c>
      <c r="H100" s="25" t="s">
        <v>180</v>
      </c>
      <c r="I100" s="25">
        <v>186</v>
      </c>
      <c r="J100" s="25" t="s">
        <v>130</v>
      </c>
      <c r="K100" s="25">
        <v>92</v>
      </c>
    </row>
    <row r="101" spans="1:11">
      <c r="A101" s="2">
        <v>94</v>
      </c>
      <c r="B101" s="2">
        <v>569</v>
      </c>
      <c r="C101" s="24">
        <v>2.826388888888889E-2</v>
      </c>
      <c r="D101" s="25" t="s">
        <v>188</v>
      </c>
      <c r="E101" s="19" t="s">
        <v>18</v>
      </c>
      <c r="F101" s="25" t="s">
        <v>19</v>
      </c>
      <c r="G101" s="25" t="s">
        <v>20</v>
      </c>
      <c r="H101" s="25" t="s">
        <v>109</v>
      </c>
      <c r="I101" s="25">
        <v>185</v>
      </c>
      <c r="J101" s="25" t="s">
        <v>189</v>
      </c>
      <c r="K101" s="25">
        <v>93</v>
      </c>
    </row>
    <row r="102" spans="1:11">
      <c r="A102" s="2">
        <v>95</v>
      </c>
      <c r="B102" s="2">
        <v>599</v>
      </c>
      <c r="C102" s="24">
        <v>2.8287037037037038E-2</v>
      </c>
      <c r="D102" s="25" t="s">
        <v>190</v>
      </c>
      <c r="E102" s="19" t="s">
        <v>87</v>
      </c>
      <c r="F102" s="25" t="s">
        <v>88</v>
      </c>
      <c r="G102" s="25" t="s">
        <v>20</v>
      </c>
      <c r="H102" s="25" t="s">
        <v>156</v>
      </c>
      <c r="I102" s="25">
        <v>223</v>
      </c>
      <c r="J102" s="25" t="s">
        <v>191</v>
      </c>
      <c r="K102" s="25">
        <v>94</v>
      </c>
    </row>
    <row r="103" spans="1:11">
      <c r="A103" s="2">
        <v>96</v>
      </c>
      <c r="B103" s="2">
        <v>25</v>
      </c>
      <c r="C103" s="24">
        <v>2.8356481481481483E-2</v>
      </c>
      <c r="D103" s="25" t="s">
        <v>192</v>
      </c>
      <c r="E103" s="19" t="s">
        <v>92</v>
      </c>
      <c r="F103" s="25" t="s">
        <v>93</v>
      </c>
      <c r="G103" s="25" t="s">
        <v>93</v>
      </c>
      <c r="H103" s="25" t="s">
        <v>156</v>
      </c>
      <c r="I103" s="25">
        <v>222</v>
      </c>
      <c r="J103" s="25" t="s">
        <v>149</v>
      </c>
      <c r="K103" s="25">
        <v>95</v>
      </c>
    </row>
    <row r="104" spans="1:11">
      <c r="A104" s="2">
        <v>97</v>
      </c>
      <c r="B104" s="2">
        <v>738</v>
      </c>
      <c r="C104" s="24">
        <v>2.837962962962963E-2</v>
      </c>
      <c r="D104" s="25" t="s">
        <v>193</v>
      </c>
      <c r="E104" s="19" t="s">
        <v>49</v>
      </c>
      <c r="F104" s="25" t="s">
        <v>50</v>
      </c>
      <c r="G104" s="25" t="s">
        <v>50</v>
      </c>
      <c r="H104" s="25" t="s">
        <v>151</v>
      </c>
      <c r="I104" s="25">
        <v>184</v>
      </c>
      <c r="J104" s="25" t="s">
        <v>194</v>
      </c>
      <c r="K104" s="25">
        <v>96</v>
      </c>
    </row>
    <row r="105" spans="1:11">
      <c r="A105" s="2">
        <v>98</v>
      </c>
      <c r="B105" s="2">
        <v>158</v>
      </c>
      <c r="C105" s="24">
        <v>2.8425925925925924E-2</v>
      </c>
      <c r="D105" s="25" t="s">
        <v>195</v>
      </c>
      <c r="E105" s="19" t="s">
        <v>102</v>
      </c>
      <c r="F105" s="25" t="s">
        <v>103</v>
      </c>
      <c r="G105" s="25" t="s">
        <v>62</v>
      </c>
      <c r="H105" s="25" t="s">
        <v>79</v>
      </c>
      <c r="I105" s="25">
        <v>221</v>
      </c>
      <c r="J105" s="25" t="s">
        <v>120</v>
      </c>
      <c r="K105" s="25">
        <v>97</v>
      </c>
    </row>
    <row r="106" spans="1:11">
      <c r="A106" s="2">
        <v>99</v>
      </c>
      <c r="B106" s="2">
        <v>725</v>
      </c>
      <c r="C106" s="24">
        <v>2.8483796296296295E-2</v>
      </c>
      <c r="D106" s="25" t="s">
        <v>196</v>
      </c>
      <c r="E106" s="19" t="s">
        <v>49</v>
      </c>
      <c r="F106" s="25" t="s">
        <v>50</v>
      </c>
      <c r="G106" s="25" t="s">
        <v>50</v>
      </c>
      <c r="H106" s="25" t="s">
        <v>105</v>
      </c>
      <c r="I106" s="25">
        <v>220</v>
      </c>
      <c r="J106" s="25" t="s">
        <v>149</v>
      </c>
      <c r="K106" s="25">
        <v>98</v>
      </c>
    </row>
    <row r="107" spans="1:11">
      <c r="A107" s="2">
        <v>100</v>
      </c>
      <c r="B107" s="2">
        <v>51</v>
      </c>
      <c r="C107" s="24">
        <v>2.854166666666667E-2</v>
      </c>
      <c r="D107" s="25" t="s">
        <v>197</v>
      </c>
      <c r="E107" s="19" t="s">
        <v>117</v>
      </c>
      <c r="F107" s="25" t="s">
        <v>118</v>
      </c>
      <c r="G107" s="25" t="s">
        <v>118</v>
      </c>
      <c r="H107" s="25" t="s">
        <v>79</v>
      </c>
      <c r="I107" s="25">
        <v>219</v>
      </c>
      <c r="J107" s="25" t="s">
        <v>127</v>
      </c>
      <c r="K107" s="25">
        <v>99</v>
      </c>
    </row>
    <row r="108" spans="1:11">
      <c r="A108" s="2">
        <v>101</v>
      </c>
      <c r="B108" s="2">
        <v>733</v>
      </c>
      <c r="C108" s="24">
        <v>2.8692129629629633E-2</v>
      </c>
      <c r="D108" s="25" t="s">
        <v>198</v>
      </c>
      <c r="E108" s="19" t="s">
        <v>49</v>
      </c>
      <c r="F108" s="25" t="s">
        <v>50</v>
      </c>
      <c r="G108" s="25" t="s">
        <v>50</v>
      </c>
      <c r="H108" s="25" t="s">
        <v>151</v>
      </c>
      <c r="I108" s="25">
        <v>183</v>
      </c>
      <c r="J108" s="25" t="s">
        <v>90</v>
      </c>
      <c r="K108" s="25">
        <v>100</v>
      </c>
    </row>
    <row r="109" spans="1:11">
      <c r="A109" s="2">
        <v>102</v>
      </c>
      <c r="B109" s="2">
        <v>343</v>
      </c>
      <c r="C109" s="24">
        <v>2.8726851851851851E-2</v>
      </c>
      <c r="D109" s="25" t="s">
        <v>199</v>
      </c>
      <c r="E109" s="19" t="s">
        <v>200</v>
      </c>
      <c r="F109" s="25" t="s">
        <v>201</v>
      </c>
      <c r="G109" s="25" t="s">
        <v>201</v>
      </c>
      <c r="H109" s="25" t="s">
        <v>31</v>
      </c>
      <c r="I109" s="25">
        <v>218</v>
      </c>
      <c r="J109" s="25" t="s">
        <v>22</v>
      </c>
      <c r="K109" s="25">
        <v>101</v>
      </c>
    </row>
    <row r="110" spans="1:11">
      <c r="A110" s="2">
        <v>103</v>
      </c>
      <c r="B110" s="2">
        <v>732</v>
      </c>
      <c r="C110" s="24">
        <v>2.8738425925925928E-2</v>
      </c>
      <c r="D110" s="25" t="s">
        <v>202</v>
      </c>
      <c r="E110" s="19" t="s">
        <v>49</v>
      </c>
      <c r="F110" s="25" t="s">
        <v>50</v>
      </c>
      <c r="G110" s="25" t="s">
        <v>50</v>
      </c>
      <c r="H110" s="25" t="s">
        <v>203</v>
      </c>
      <c r="I110" s="25">
        <v>217</v>
      </c>
      <c r="J110" s="25" t="s">
        <v>40</v>
      </c>
      <c r="K110" s="25">
        <v>102</v>
      </c>
    </row>
    <row r="111" spans="1:11">
      <c r="A111" s="2">
        <v>104</v>
      </c>
      <c r="B111" s="2">
        <v>588</v>
      </c>
      <c r="C111" s="24">
        <v>2.8749999999999998E-2</v>
      </c>
      <c r="D111" s="25" t="s">
        <v>204</v>
      </c>
      <c r="E111" s="19" t="s">
        <v>87</v>
      </c>
      <c r="F111" s="25" t="s">
        <v>88</v>
      </c>
      <c r="G111" s="25" t="s">
        <v>20</v>
      </c>
      <c r="H111" s="25" t="s">
        <v>43</v>
      </c>
      <c r="I111" s="25">
        <v>216</v>
      </c>
      <c r="J111" s="25" t="s">
        <v>111</v>
      </c>
      <c r="K111" s="25" t="s">
        <v>111</v>
      </c>
    </row>
    <row r="112" spans="1:11">
      <c r="A112" s="2">
        <v>105</v>
      </c>
      <c r="B112" s="2">
        <v>194</v>
      </c>
      <c r="C112" s="24">
        <v>2.8761574074074075E-2</v>
      </c>
      <c r="D112" s="25" t="s">
        <v>205</v>
      </c>
      <c r="E112" s="19" t="s">
        <v>24</v>
      </c>
      <c r="F112" s="25" t="s">
        <v>25</v>
      </c>
      <c r="G112" s="25" t="s">
        <v>26</v>
      </c>
      <c r="H112" s="25" t="s">
        <v>105</v>
      </c>
      <c r="I112" s="25">
        <v>215</v>
      </c>
      <c r="J112" s="25" t="s">
        <v>106</v>
      </c>
      <c r="K112" s="25">
        <v>103</v>
      </c>
    </row>
    <row r="113" spans="1:11">
      <c r="A113" s="2">
        <v>106</v>
      </c>
      <c r="B113" s="2">
        <v>301</v>
      </c>
      <c r="C113" s="24">
        <v>2.8773148148148145E-2</v>
      </c>
      <c r="D113" s="25" t="s">
        <v>206</v>
      </c>
      <c r="E113" s="19" t="s">
        <v>83</v>
      </c>
      <c r="F113" s="25" t="s">
        <v>84</v>
      </c>
      <c r="G113" s="25" t="s">
        <v>84</v>
      </c>
      <c r="H113" s="25" t="s">
        <v>79</v>
      </c>
      <c r="I113" s="25">
        <v>214</v>
      </c>
      <c r="J113" s="25" t="s">
        <v>80</v>
      </c>
      <c r="K113" s="25">
        <v>104</v>
      </c>
    </row>
    <row r="114" spans="1:11">
      <c r="A114" s="2">
        <v>107</v>
      </c>
      <c r="B114" s="2">
        <v>734</v>
      </c>
      <c r="C114" s="24">
        <v>2.8796296296296296E-2</v>
      </c>
      <c r="D114" s="25" t="s">
        <v>207</v>
      </c>
      <c r="E114" s="19" t="s">
        <v>49</v>
      </c>
      <c r="F114" s="25" t="s">
        <v>50</v>
      </c>
      <c r="G114" s="25" t="s">
        <v>50</v>
      </c>
      <c r="H114" s="25" t="s">
        <v>105</v>
      </c>
      <c r="I114" s="25">
        <v>213</v>
      </c>
      <c r="J114" s="25" t="s">
        <v>71</v>
      </c>
      <c r="K114" s="25">
        <v>105</v>
      </c>
    </row>
    <row r="115" spans="1:11">
      <c r="A115" s="2">
        <v>108</v>
      </c>
      <c r="B115" s="2">
        <v>578</v>
      </c>
      <c r="C115" s="24">
        <v>2.8923611111111108E-2</v>
      </c>
      <c r="D115" s="25" t="s">
        <v>208</v>
      </c>
      <c r="E115" s="19" t="s">
        <v>18</v>
      </c>
      <c r="F115" s="25" t="s">
        <v>19</v>
      </c>
      <c r="G115" s="25" t="s">
        <v>20</v>
      </c>
      <c r="H115" s="25" t="s">
        <v>129</v>
      </c>
      <c r="I115" s="25">
        <v>182</v>
      </c>
      <c r="J115" s="25" t="s">
        <v>130</v>
      </c>
      <c r="K115" s="25">
        <v>106</v>
      </c>
    </row>
    <row r="116" spans="1:11">
      <c r="A116" s="2">
        <v>109</v>
      </c>
      <c r="B116" s="2">
        <v>717</v>
      </c>
      <c r="C116" s="24">
        <v>2.8958333333333336E-2</v>
      </c>
      <c r="D116" s="25" t="s">
        <v>209</v>
      </c>
      <c r="E116" s="19" t="s">
        <v>49</v>
      </c>
      <c r="F116" s="25" t="s">
        <v>50</v>
      </c>
      <c r="G116" s="25" t="s">
        <v>50</v>
      </c>
      <c r="H116" s="25" t="s">
        <v>156</v>
      </c>
      <c r="I116" s="25">
        <v>212</v>
      </c>
      <c r="J116" s="25" t="s">
        <v>120</v>
      </c>
      <c r="K116" s="25">
        <v>107</v>
      </c>
    </row>
    <row r="117" spans="1:11">
      <c r="A117" s="2">
        <v>110</v>
      </c>
      <c r="B117" s="2">
        <v>128</v>
      </c>
      <c r="C117" s="24">
        <v>2.9120370370370366E-2</v>
      </c>
      <c r="D117" s="25" t="s">
        <v>210</v>
      </c>
      <c r="E117" s="19" t="s">
        <v>60</v>
      </c>
      <c r="F117" s="25" t="s">
        <v>61</v>
      </c>
      <c r="G117" s="25" t="s">
        <v>62</v>
      </c>
      <c r="H117" s="25" t="s">
        <v>109</v>
      </c>
      <c r="I117" s="25">
        <v>181</v>
      </c>
      <c r="J117" s="25" t="s">
        <v>143</v>
      </c>
      <c r="K117" s="25">
        <v>108</v>
      </c>
    </row>
    <row r="118" spans="1:11">
      <c r="A118" s="2">
        <v>111</v>
      </c>
      <c r="B118" s="2">
        <v>822</v>
      </c>
      <c r="C118" s="24">
        <v>2.9456018518518517E-2</v>
      </c>
      <c r="D118" s="25" t="s">
        <v>211</v>
      </c>
      <c r="E118" s="19" t="s">
        <v>133</v>
      </c>
      <c r="F118" s="25" t="s">
        <v>134</v>
      </c>
      <c r="G118" s="25" t="s">
        <v>62</v>
      </c>
      <c r="H118" s="25" t="s">
        <v>105</v>
      </c>
      <c r="I118" s="25">
        <v>211</v>
      </c>
      <c r="J118" s="25" t="s">
        <v>149</v>
      </c>
      <c r="K118" s="25">
        <v>109</v>
      </c>
    </row>
    <row r="119" spans="1:11">
      <c r="A119" s="2">
        <v>112</v>
      </c>
      <c r="B119" s="2">
        <v>71</v>
      </c>
      <c r="C119" s="24">
        <v>2.9479166666666667E-2</v>
      </c>
      <c r="D119" s="25" t="s">
        <v>212</v>
      </c>
      <c r="E119" s="19" t="s">
        <v>117</v>
      </c>
      <c r="F119" s="25" t="s">
        <v>118</v>
      </c>
      <c r="G119" s="25" t="s">
        <v>118</v>
      </c>
      <c r="H119" s="25" t="s">
        <v>39</v>
      </c>
      <c r="I119" s="25">
        <v>210</v>
      </c>
      <c r="J119" s="25" t="s">
        <v>40</v>
      </c>
      <c r="K119" s="25">
        <v>110</v>
      </c>
    </row>
    <row r="120" spans="1:11">
      <c r="A120" s="2">
        <v>113</v>
      </c>
      <c r="B120" s="2">
        <v>249</v>
      </c>
      <c r="C120" s="24">
        <v>2.9537037037037039E-2</v>
      </c>
      <c r="D120" s="25" t="s">
        <v>213</v>
      </c>
      <c r="E120" s="19" t="s">
        <v>52</v>
      </c>
      <c r="F120" s="25" t="s">
        <v>53</v>
      </c>
      <c r="G120" s="25" t="s">
        <v>53</v>
      </c>
      <c r="H120" s="25" t="s">
        <v>180</v>
      </c>
      <c r="I120" s="25">
        <v>180</v>
      </c>
      <c r="J120" s="25" t="s">
        <v>130</v>
      </c>
      <c r="K120" s="25">
        <v>111</v>
      </c>
    </row>
    <row r="121" spans="1:11">
      <c r="A121" s="2">
        <v>114</v>
      </c>
      <c r="B121" s="2">
        <v>29</v>
      </c>
      <c r="C121" s="24">
        <v>2.960648148148148E-2</v>
      </c>
      <c r="D121" s="25" t="s">
        <v>214</v>
      </c>
      <c r="E121" s="19" t="s">
        <v>92</v>
      </c>
      <c r="F121" s="25" t="s">
        <v>93</v>
      </c>
      <c r="G121" s="25" t="s">
        <v>93</v>
      </c>
      <c r="H121" s="25" t="s">
        <v>105</v>
      </c>
      <c r="I121" s="25">
        <v>209</v>
      </c>
      <c r="J121" s="25" t="s">
        <v>80</v>
      </c>
      <c r="K121" s="25">
        <v>112</v>
      </c>
    </row>
    <row r="122" spans="1:11">
      <c r="A122" s="2">
        <v>115</v>
      </c>
      <c r="B122" s="2">
        <v>341</v>
      </c>
      <c r="C122" s="24">
        <v>2.9629629629629627E-2</v>
      </c>
      <c r="D122" s="25" t="s">
        <v>215</v>
      </c>
      <c r="E122" s="19" t="s">
        <v>200</v>
      </c>
      <c r="F122" s="25" t="s">
        <v>201</v>
      </c>
      <c r="G122" s="25" t="s">
        <v>201</v>
      </c>
      <c r="H122" s="25" t="s">
        <v>43</v>
      </c>
      <c r="I122" s="25">
        <v>208</v>
      </c>
      <c r="J122" s="25" t="s">
        <v>44</v>
      </c>
      <c r="K122" s="25">
        <v>113</v>
      </c>
    </row>
    <row r="123" spans="1:11">
      <c r="A123" s="2">
        <v>116</v>
      </c>
      <c r="B123" s="2">
        <v>257</v>
      </c>
      <c r="C123" s="24">
        <v>2.9872685185185183E-2</v>
      </c>
      <c r="D123" s="25" t="s">
        <v>216</v>
      </c>
      <c r="E123" s="19" t="s">
        <v>52</v>
      </c>
      <c r="F123" s="25" t="s">
        <v>53</v>
      </c>
      <c r="G123" s="25" t="s">
        <v>53</v>
      </c>
      <c r="H123" s="25" t="s">
        <v>217</v>
      </c>
      <c r="I123" s="25">
        <v>179</v>
      </c>
      <c r="J123" s="25" t="s">
        <v>218</v>
      </c>
      <c r="K123" s="25">
        <v>114</v>
      </c>
    </row>
    <row r="124" spans="1:11">
      <c r="A124" s="2">
        <v>117</v>
      </c>
      <c r="B124" s="2">
        <v>490</v>
      </c>
      <c r="C124" s="24">
        <v>2.9988425925925922E-2</v>
      </c>
      <c r="D124" s="25" t="s">
        <v>219</v>
      </c>
      <c r="E124" s="19" t="s">
        <v>56</v>
      </c>
      <c r="F124" s="25" t="s">
        <v>57</v>
      </c>
      <c r="G124" s="25" t="s">
        <v>58</v>
      </c>
      <c r="H124" s="25" t="s">
        <v>156</v>
      </c>
      <c r="I124" s="25">
        <v>207</v>
      </c>
      <c r="J124" s="25" t="s">
        <v>106</v>
      </c>
      <c r="K124" s="25">
        <v>115</v>
      </c>
    </row>
    <row r="125" spans="1:11">
      <c r="A125" s="2">
        <v>118</v>
      </c>
      <c r="B125" s="2">
        <v>262</v>
      </c>
      <c r="C125" s="24">
        <v>3.0439814814814819E-2</v>
      </c>
      <c r="D125" s="25" t="s">
        <v>220</v>
      </c>
      <c r="E125" s="19" t="s">
        <v>52</v>
      </c>
      <c r="F125" s="25" t="s">
        <v>53</v>
      </c>
      <c r="G125" s="25" t="s">
        <v>53</v>
      </c>
      <c r="H125" s="25" t="s">
        <v>156</v>
      </c>
      <c r="I125" s="25">
        <v>206</v>
      </c>
      <c r="J125" s="25" t="s">
        <v>149</v>
      </c>
      <c r="K125" s="25">
        <v>116</v>
      </c>
    </row>
    <row r="126" spans="1:11">
      <c r="A126" s="2">
        <v>119</v>
      </c>
      <c r="B126" s="2">
        <v>527</v>
      </c>
      <c r="C126" s="24">
        <v>3.0543981481481481E-2</v>
      </c>
      <c r="D126" s="25" t="s">
        <v>221</v>
      </c>
      <c r="E126" s="19" t="s">
        <v>65</v>
      </c>
      <c r="F126" s="25" t="s">
        <v>66</v>
      </c>
      <c r="G126" s="25" t="s">
        <v>66</v>
      </c>
      <c r="H126" s="25" t="s">
        <v>180</v>
      </c>
      <c r="I126" s="25">
        <v>178</v>
      </c>
      <c r="J126" s="25" t="s">
        <v>130</v>
      </c>
      <c r="K126" s="25">
        <v>117</v>
      </c>
    </row>
    <row r="127" spans="1:11">
      <c r="A127" s="2">
        <v>120</v>
      </c>
      <c r="B127" s="2">
        <v>916</v>
      </c>
      <c r="C127" s="24">
        <v>3.0555555555555555E-2</v>
      </c>
      <c r="D127" s="25" t="s">
        <v>222</v>
      </c>
      <c r="E127" s="19" t="s">
        <v>18</v>
      </c>
      <c r="F127" s="25" t="s">
        <v>19</v>
      </c>
      <c r="G127" s="25" t="s">
        <v>20</v>
      </c>
      <c r="H127" s="25" t="s">
        <v>151</v>
      </c>
      <c r="I127" s="25">
        <v>177</v>
      </c>
      <c r="J127" s="25" t="s">
        <v>141</v>
      </c>
      <c r="K127" s="25">
        <v>118</v>
      </c>
    </row>
    <row r="128" spans="1:11">
      <c r="A128" s="2">
        <v>121</v>
      </c>
      <c r="B128" s="2">
        <v>46</v>
      </c>
      <c r="C128" s="24">
        <v>3.0555555555555555E-2</v>
      </c>
      <c r="D128" s="25" t="s">
        <v>223</v>
      </c>
      <c r="E128" s="19" t="s">
        <v>117</v>
      </c>
      <c r="F128" s="25" t="s">
        <v>118</v>
      </c>
      <c r="G128" s="25" t="s">
        <v>118</v>
      </c>
      <c r="H128" s="25" t="s">
        <v>140</v>
      </c>
      <c r="I128" s="25">
        <v>176</v>
      </c>
      <c r="J128" s="25" t="s">
        <v>194</v>
      </c>
      <c r="K128" s="25">
        <v>119</v>
      </c>
    </row>
    <row r="129" spans="1:11">
      <c r="A129" s="2">
        <v>122</v>
      </c>
      <c r="B129" s="2">
        <v>404</v>
      </c>
      <c r="C129" s="24">
        <v>3.0601851851851852E-2</v>
      </c>
      <c r="D129" s="25" t="s">
        <v>224</v>
      </c>
      <c r="E129" s="19" t="s">
        <v>37</v>
      </c>
      <c r="F129" s="25" t="s">
        <v>38</v>
      </c>
      <c r="G129" s="25" t="s">
        <v>38</v>
      </c>
      <c r="H129" s="25" t="s">
        <v>31</v>
      </c>
      <c r="I129" s="25">
        <v>205</v>
      </c>
      <c r="J129" s="25" t="s">
        <v>35</v>
      </c>
      <c r="K129" s="25">
        <v>120</v>
      </c>
    </row>
    <row r="130" spans="1:11">
      <c r="A130" s="2">
        <v>123</v>
      </c>
      <c r="B130" s="2">
        <v>611</v>
      </c>
      <c r="C130" s="24">
        <v>3.078703703703704E-2</v>
      </c>
      <c r="D130" s="25" t="s">
        <v>225</v>
      </c>
      <c r="E130" s="19" t="s">
        <v>87</v>
      </c>
      <c r="F130" s="25" t="s">
        <v>88</v>
      </c>
      <c r="G130" s="25" t="s">
        <v>20</v>
      </c>
      <c r="H130" s="25" t="s">
        <v>105</v>
      </c>
      <c r="I130" s="25">
        <v>204</v>
      </c>
      <c r="J130" s="25" t="s">
        <v>111</v>
      </c>
      <c r="K130" s="25" t="s">
        <v>111</v>
      </c>
    </row>
    <row r="131" spans="1:11">
      <c r="A131" s="2">
        <v>124</v>
      </c>
      <c r="B131" s="2">
        <v>623</v>
      </c>
      <c r="C131" s="24">
        <v>3.0844907407407404E-2</v>
      </c>
      <c r="D131" s="25" t="s">
        <v>226</v>
      </c>
      <c r="E131" s="19" t="s">
        <v>87</v>
      </c>
      <c r="F131" s="25" t="s">
        <v>88</v>
      </c>
      <c r="G131" s="25" t="s">
        <v>20</v>
      </c>
      <c r="H131" s="25" t="s">
        <v>79</v>
      </c>
      <c r="I131" s="25">
        <v>203</v>
      </c>
      <c r="J131" s="25" t="s">
        <v>111</v>
      </c>
      <c r="K131" s="25" t="s">
        <v>111</v>
      </c>
    </row>
    <row r="132" spans="1:11">
      <c r="A132" s="2">
        <v>125</v>
      </c>
      <c r="B132" s="2">
        <v>620</v>
      </c>
      <c r="C132" s="24">
        <v>3.0925925925925926E-2</v>
      </c>
      <c r="D132" s="25" t="s">
        <v>227</v>
      </c>
      <c r="E132" s="19" t="s">
        <v>87</v>
      </c>
      <c r="F132" s="25" t="s">
        <v>88</v>
      </c>
      <c r="G132" s="25" t="s">
        <v>20</v>
      </c>
      <c r="H132" s="25" t="s">
        <v>140</v>
      </c>
      <c r="I132" s="25">
        <v>175</v>
      </c>
      <c r="J132" s="25" t="s">
        <v>194</v>
      </c>
      <c r="K132" s="25">
        <v>121</v>
      </c>
    </row>
    <row r="133" spans="1:11">
      <c r="A133" s="2">
        <v>126</v>
      </c>
      <c r="B133" s="2">
        <v>530</v>
      </c>
      <c r="C133" s="24">
        <v>3.0949074074074077E-2</v>
      </c>
      <c r="D133" s="25" t="s">
        <v>228</v>
      </c>
      <c r="E133" s="19" t="s">
        <v>65</v>
      </c>
      <c r="F133" s="25" t="s">
        <v>66</v>
      </c>
      <c r="G133" s="25" t="s">
        <v>66</v>
      </c>
      <c r="H133" s="25" t="s">
        <v>89</v>
      </c>
      <c r="I133" s="25">
        <v>174</v>
      </c>
      <c r="J133" s="25" t="s">
        <v>90</v>
      </c>
      <c r="K133" s="25">
        <v>122</v>
      </c>
    </row>
    <row r="134" spans="1:11">
      <c r="A134" s="2">
        <v>127</v>
      </c>
      <c r="B134" s="2">
        <v>435</v>
      </c>
      <c r="C134" s="24">
        <v>3.0983796296296297E-2</v>
      </c>
      <c r="D134" s="25" t="s">
        <v>229</v>
      </c>
      <c r="E134" s="19" t="s">
        <v>37</v>
      </c>
      <c r="F134" s="25" t="s">
        <v>38</v>
      </c>
      <c r="G134" s="25" t="s">
        <v>38</v>
      </c>
      <c r="H134" s="25" t="s">
        <v>156</v>
      </c>
      <c r="I134" s="25">
        <v>202</v>
      </c>
      <c r="J134" s="25" t="s">
        <v>106</v>
      </c>
      <c r="K134" s="25">
        <v>123</v>
      </c>
    </row>
    <row r="135" spans="1:11">
      <c r="A135" s="2">
        <v>128</v>
      </c>
      <c r="B135" s="2">
        <v>40</v>
      </c>
      <c r="C135" s="24">
        <v>3.1145833333333334E-2</v>
      </c>
      <c r="D135" s="25" t="s">
        <v>230</v>
      </c>
      <c r="E135" s="19" t="s">
        <v>117</v>
      </c>
      <c r="F135" s="25" t="s">
        <v>118</v>
      </c>
      <c r="G135" s="25" t="s">
        <v>118</v>
      </c>
      <c r="H135" s="25" t="s">
        <v>180</v>
      </c>
      <c r="I135" s="25">
        <v>173</v>
      </c>
      <c r="J135" s="25" t="s">
        <v>130</v>
      </c>
      <c r="K135" s="25">
        <v>124</v>
      </c>
    </row>
    <row r="136" spans="1:11">
      <c r="A136" s="2">
        <v>129</v>
      </c>
      <c r="B136" s="2">
        <v>1020</v>
      </c>
      <c r="C136" s="24">
        <v>3.1215277777777783E-2</v>
      </c>
      <c r="D136" s="25" t="s">
        <v>231</v>
      </c>
      <c r="E136" s="19" t="s">
        <v>18</v>
      </c>
      <c r="F136" s="25" t="s">
        <v>19</v>
      </c>
      <c r="G136" s="25" t="s">
        <v>20</v>
      </c>
      <c r="H136" s="25" t="s">
        <v>140</v>
      </c>
      <c r="I136" s="25">
        <v>172</v>
      </c>
      <c r="J136" s="25" t="s">
        <v>232</v>
      </c>
      <c r="K136" s="25">
        <v>125</v>
      </c>
    </row>
    <row r="137" spans="1:11">
      <c r="A137" s="2">
        <v>130</v>
      </c>
      <c r="B137" s="2">
        <v>306</v>
      </c>
      <c r="C137" s="24">
        <v>3.123842592592593E-2</v>
      </c>
      <c r="D137" s="25" t="s">
        <v>233</v>
      </c>
      <c r="E137" s="19" t="s">
        <v>83</v>
      </c>
      <c r="F137" s="25" t="s">
        <v>84</v>
      </c>
      <c r="G137" s="25" t="s">
        <v>84</v>
      </c>
      <c r="H137" s="25" t="s">
        <v>43</v>
      </c>
      <c r="I137" s="25">
        <v>201</v>
      </c>
      <c r="J137" s="25" t="s">
        <v>127</v>
      </c>
      <c r="K137" s="25">
        <v>126</v>
      </c>
    </row>
    <row r="138" spans="1:11">
      <c r="A138" s="2">
        <v>131</v>
      </c>
      <c r="B138" s="2">
        <v>983</v>
      </c>
      <c r="C138" s="24">
        <v>3.1284722222222221E-2</v>
      </c>
      <c r="D138" s="25" t="s">
        <v>234</v>
      </c>
      <c r="E138" s="19" t="s">
        <v>18</v>
      </c>
      <c r="F138" s="25" t="s">
        <v>19</v>
      </c>
      <c r="G138" s="25" t="s">
        <v>20</v>
      </c>
      <c r="H138" s="25" t="s">
        <v>89</v>
      </c>
      <c r="I138" s="25">
        <v>171</v>
      </c>
      <c r="J138" s="25" t="s">
        <v>235</v>
      </c>
      <c r="K138" s="25">
        <v>127</v>
      </c>
    </row>
    <row r="139" spans="1:11">
      <c r="A139" s="2">
        <v>132</v>
      </c>
      <c r="B139" s="2">
        <v>214</v>
      </c>
      <c r="C139" s="24">
        <v>3.1446759259259258E-2</v>
      </c>
      <c r="D139" s="25" t="s">
        <v>236</v>
      </c>
      <c r="E139" s="19" t="s">
        <v>46</v>
      </c>
      <c r="F139" s="25" t="s">
        <v>47</v>
      </c>
      <c r="G139" s="25" t="s">
        <v>47</v>
      </c>
      <c r="H139" s="25" t="s">
        <v>217</v>
      </c>
      <c r="I139" s="25">
        <v>170</v>
      </c>
      <c r="J139" s="25" t="s">
        <v>218</v>
      </c>
      <c r="K139" s="25">
        <v>128</v>
      </c>
    </row>
    <row r="140" spans="1:11">
      <c r="A140" s="2">
        <v>133</v>
      </c>
      <c r="B140" s="2">
        <v>95</v>
      </c>
      <c r="C140" s="24">
        <v>3.1643518518518522E-2</v>
      </c>
      <c r="D140" s="25" t="s">
        <v>237</v>
      </c>
      <c r="E140" s="19" t="s">
        <v>117</v>
      </c>
      <c r="F140" s="25" t="s">
        <v>118</v>
      </c>
      <c r="G140" s="25" t="s">
        <v>118</v>
      </c>
      <c r="H140" s="25" t="s">
        <v>54</v>
      </c>
      <c r="I140" s="25">
        <v>200</v>
      </c>
      <c r="J140" s="25" t="s">
        <v>71</v>
      </c>
      <c r="K140" s="25">
        <v>129</v>
      </c>
    </row>
    <row r="141" spans="1:11">
      <c r="A141" s="2">
        <v>134</v>
      </c>
      <c r="B141" s="2">
        <v>94</v>
      </c>
      <c r="C141" s="24">
        <v>3.1678240740740743E-2</v>
      </c>
      <c r="D141" s="25" t="s">
        <v>238</v>
      </c>
      <c r="E141" s="19" t="s">
        <v>117</v>
      </c>
      <c r="F141" s="25" t="s">
        <v>118</v>
      </c>
      <c r="G141" s="25" t="s">
        <v>118</v>
      </c>
      <c r="H141" s="25" t="s">
        <v>109</v>
      </c>
      <c r="I141" s="25">
        <v>169</v>
      </c>
      <c r="J141" s="25" t="s">
        <v>90</v>
      </c>
      <c r="K141" s="25">
        <v>130</v>
      </c>
    </row>
    <row r="142" spans="1:11">
      <c r="A142" s="2">
        <v>135</v>
      </c>
      <c r="B142" s="2">
        <v>307</v>
      </c>
      <c r="C142" s="24">
        <v>3.1712962962962964E-2</v>
      </c>
      <c r="D142" s="25" t="s">
        <v>239</v>
      </c>
      <c r="E142" s="19" t="s">
        <v>75</v>
      </c>
      <c r="F142" s="25" t="s">
        <v>76</v>
      </c>
      <c r="G142" s="25" t="s">
        <v>76</v>
      </c>
      <c r="H142" s="25" t="s">
        <v>156</v>
      </c>
      <c r="I142" s="25">
        <v>199</v>
      </c>
      <c r="J142" s="25" t="s">
        <v>106</v>
      </c>
      <c r="K142" s="25">
        <v>131</v>
      </c>
    </row>
    <row r="143" spans="1:11">
      <c r="A143" s="2">
        <v>136</v>
      </c>
      <c r="B143" s="2">
        <v>979</v>
      </c>
      <c r="C143" s="24">
        <v>3.1909722222222221E-2</v>
      </c>
      <c r="D143" s="25" t="s">
        <v>240</v>
      </c>
      <c r="E143" s="19" t="s">
        <v>18</v>
      </c>
      <c r="F143" s="25" t="s">
        <v>19</v>
      </c>
      <c r="G143" s="25" t="s">
        <v>20</v>
      </c>
      <c r="H143" s="25" t="s">
        <v>140</v>
      </c>
      <c r="I143" s="25">
        <v>168</v>
      </c>
      <c r="J143" s="25" t="s">
        <v>241</v>
      </c>
      <c r="K143" s="25">
        <v>132</v>
      </c>
    </row>
    <row r="144" spans="1:11">
      <c r="A144" s="2">
        <v>137</v>
      </c>
      <c r="B144" s="2">
        <v>79</v>
      </c>
      <c r="C144" s="24">
        <v>3.1921296296296302E-2</v>
      </c>
      <c r="D144" s="25" t="s">
        <v>242</v>
      </c>
      <c r="E144" s="19" t="s">
        <v>117</v>
      </c>
      <c r="F144" s="25" t="s">
        <v>118</v>
      </c>
      <c r="G144" s="25" t="s">
        <v>118</v>
      </c>
      <c r="H144" s="25" t="s">
        <v>54</v>
      </c>
      <c r="I144" s="25">
        <v>198</v>
      </c>
      <c r="J144" s="25" t="s">
        <v>120</v>
      </c>
      <c r="K144" s="25">
        <v>133</v>
      </c>
    </row>
    <row r="145" spans="1:11">
      <c r="A145" s="2">
        <v>138</v>
      </c>
      <c r="B145" s="2">
        <v>211</v>
      </c>
      <c r="C145" s="24">
        <v>3.2002314814814817E-2</v>
      </c>
      <c r="D145" s="25" t="s">
        <v>243</v>
      </c>
      <c r="E145" s="19" t="s">
        <v>46</v>
      </c>
      <c r="F145" s="25" t="s">
        <v>47</v>
      </c>
      <c r="G145" s="25" t="s">
        <v>47</v>
      </c>
      <c r="H145" s="25" t="s">
        <v>79</v>
      </c>
      <c r="I145" s="25">
        <v>197</v>
      </c>
      <c r="J145" s="25" t="s">
        <v>44</v>
      </c>
      <c r="K145" s="25">
        <v>134</v>
      </c>
    </row>
    <row r="146" spans="1:11">
      <c r="A146" s="2">
        <v>139</v>
      </c>
      <c r="B146" s="2">
        <v>475</v>
      </c>
      <c r="C146" s="24">
        <v>3.2048611111111111E-2</v>
      </c>
      <c r="D146" s="25" t="s">
        <v>244</v>
      </c>
      <c r="E146" s="19" t="s">
        <v>56</v>
      </c>
      <c r="F146" s="25" t="s">
        <v>57</v>
      </c>
      <c r="G146" s="25" t="s">
        <v>58</v>
      </c>
      <c r="H146" s="25" t="s">
        <v>39</v>
      </c>
      <c r="I146" s="25">
        <v>196</v>
      </c>
      <c r="J146" s="25" t="s">
        <v>40</v>
      </c>
      <c r="K146" s="25">
        <v>135</v>
      </c>
    </row>
    <row r="147" spans="1:11">
      <c r="A147" s="2">
        <v>140</v>
      </c>
      <c r="B147" s="2">
        <v>815</v>
      </c>
      <c r="C147" s="24">
        <v>3.2557870370370369E-2</v>
      </c>
      <c r="D147" s="25" t="s">
        <v>245</v>
      </c>
      <c r="E147" s="19" t="s">
        <v>133</v>
      </c>
      <c r="F147" s="25" t="s">
        <v>134</v>
      </c>
      <c r="G147" s="25" t="s">
        <v>62</v>
      </c>
      <c r="H147" s="25" t="s">
        <v>156</v>
      </c>
      <c r="I147" s="25">
        <v>195</v>
      </c>
      <c r="J147" s="25" t="s">
        <v>97</v>
      </c>
      <c r="K147" s="25">
        <v>136</v>
      </c>
    </row>
    <row r="148" spans="1:11">
      <c r="A148" s="2">
        <v>141</v>
      </c>
      <c r="B148" s="2">
        <v>223</v>
      </c>
      <c r="C148" s="24">
        <v>3.2627314814814817E-2</v>
      </c>
      <c r="D148" s="25" t="s">
        <v>246</v>
      </c>
      <c r="E148" s="19" t="s">
        <v>46</v>
      </c>
      <c r="F148" s="25" t="s">
        <v>47</v>
      </c>
      <c r="G148" s="25" t="s">
        <v>47</v>
      </c>
      <c r="H148" s="25" t="s">
        <v>129</v>
      </c>
      <c r="I148" s="25">
        <v>167</v>
      </c>
      <c r="J148" s="25" t="s">
        <v>247</v>
      </c>
      <c r="K148" s="25">
        <v>137</v>
      </c>
    </row>
    <row r="149" spans="1:11">
      <c r="A149" s="2">
        <v>142</v>
      </c>
      <c r="B149" s="2">
        <v>731</v>
      </c>
      <c r="C149" s="24">
        <v>3.2638888888888891E-2</v>
      </c>
      <c r="D149" s="25" t="s">
        <v>248</v>
      </c>
      <c r="E149" s="19" t="s">
        <v>49</v>
      </c>
      <c r="F149" s="25" t="s">
        <v>50</v>
      </c>
      <c r="G149" s="25" t="s">
        <v>50</v>
      </c>
      <c r="H149" s="25" t="s">
        <v>203</v>
      </c>
      <c r="I149" s="25">
        <v>194</v>
      </c>
      <c r="J149" s="25" t="s">
        <v>22</v>
      </c>
      <c r="K149" s="25">
        <v>138</v>
      </c>
    </row>
    <row r="150" spans="1:11">
      <c r="A150" s="2">
        <v>143</v>
      </c>
      <c r="B150" s="2">
        <v>54</v>
      </c>
      <c r="C150" s="24">
        <v>3.2673611111111105E-2</v>
      </c>
      <c r="D150" s="25" t="s">
        <v>249</v>
      </c>
      <c r="E150" s="19" t="s">
        <v>117</v>
      </c>
      <c r="F150" s="25" t="s">
        <v>118</v>
      </c>
      <c r="G150" s="25" t="s">
        <v>118</v>
      </c>
      <c r="H150" s="25" t="s">
        <v>129</v>
      </c>
      <c r="I150" s="25">
        <v>166</v>
      </c>
      <c r="J150" s="25" t="s">
        <v>247</v>
      </c>
      <c r="K150" s="25">
        <v>139</v>
      </c>
    </row>
    <row r="151" spans="1:11">
      <c r="A151" s="2">
        <v>144</v>
      </c>
      <c r="B151" s="2">
        <v>140</v>
      </c>
      <c r="C151" s="24">
        <v>3.2719907407407406E-2</v>
      </c>
      <c r="D151" s="25" t="s">
        <v>250</v>
      </c>
      <c r="E151" s="19" t="s">
        <v>251</v>
      </c>
      <c r="F151" s="25" t="s">
        <v>252</v>
      </c>
      <c r="G151" s="25" t="s">
        <v>62</v>
      </c>
      <c r="H151" s="25" t="s">
        <v>79</v>
      </c>
      <c r="I151" s="25">
        <v>193</v>
      </c>
      <c r="J151" s="25" t="s">
        <v>113</v>
      </c>
      <c r="K151" s="25">
        <v>140</v>
      </c>
    </row>
    <row r="152" spans="1:11">
      <c r="A152" s="2">
        <v>145</v>
      </c>
      <c r="B152" s="2">
        <v>1011</v>
      </c>
      <c r="C152" s="24">
        <v>3.2939814814814811E-2</v>
      </c>
      <c r="D152" s="25" t="s">
        <v>253</v>
      </c>
      <c r="E152" s="19">
        <v>0</v>
      </c>
      <c r="F152" s="25" t="s">
        <v>111</v>
      </c>
      <c r="G152" s="25" t="s">
        <v>111</v>
      </c>
      <c r="H152" s="25" t="s">
        <v>105</v>
      </c>
      <c r="I152" s="25" t="s">
        <v>111</v>
      </c>
      <c r="J152" s="25" t="s">
        <v>111</v>
      </c>
      <c r="K152" s="25" t="s">
        <v>111</v>
      </c>
    </row>
    <row r="153" spans="1:11">
      <c r="A153" s="2">
        <v>146</v>
      </c>
      <c r="B153" s="2">
        <v>408</v>
      </c>
      <c r="C153" s="24">
        <v>3.3090277777777781E-2</v>
      </c>
      <c r="D153" s="25" t="s">
        <v>254</v>
      </c>
      <c r="E153" s="19" t="s">
        <v>37</v>
      </c>
      <c r="F153" s="25" t="s">
        <v>38</v>
      </c>
      <c r="G153" s="25" t="s">
        <v>38</v>
      </c>
      <c r="H153" s="25" t="s">
        <v>140</v>
      </c>
      <c r="I153" s="25">
        <v>165</v>
      </c>
      <c r="J153" s="25" t="s">
        <v>141</v>
      </c>
      <c r="K153" s="25">
        <v>141</v>
      </c>
    </row>
    <row r="154" spans="1:11">
      <c r="A154" s="2">
        <v>147</v>
      </c>
      <c r="B154" s="2">
        <v>117</v>
      </c>
      <c r="C154" s="24">
        <v>3.3148148148148149E-2</v>
      </c>
      <c r="D154" s="25" t="s">
        <v>255</v>
      </c>
      <c r="E154" s="19" t="s">
        <v>60</v>
      </c>
      <c r="F154" s="25" t="s">
        <v>61</v>
      </c>
      <c r="G154" s="25" t="s">
        <v>62</v>
      </c>
      <c r="H154" s="25" t="s">
        <v>109</v>
      </c>
      <c r="I154" s="25">
        <v>164</v>
      </c>
      <c r="J154" s="25" t="s">
        <v>189</v>
      </c>
      <c r="K154" s="25">
        <v>142</v>
      </c>
    </row>
    <row r="155" spans="1:11">
      <c r="A155" s="2">
        <v>148</v>
      </c>
      <c r="B155" s="2">
        <v>73</v>
      </c>
      <c r="C155" s="24">
        <v>3.3217592592592597E-2</v>
      </c>
      <c r="D155" s="25" t="s">
        <v>256</v>
      </c>
      <c r="E155" s="19" t="s">
        <v>117</v>
      </c>
      <c r="F155" s="25" t="s">
        <v>118</v>
      </c>
      <c r="G155" s="25" t="s">
        <v>118</v>
      </c>
      <c r="H155" s="25" t="s">
        <v>140</v>
      </c>
      <c r="I155" s="25">
        <v>163</v>
      </c>
      <c r="J155" s="25" t="s">
        <v>143</v>
      </c>
      <c r="K155" s="25">
        <v>143</v>
      </c>
    </row>
    <row r="156" spans="1:11">
      <c r="A156" s="2">
        <v>149</v>
      </c>
      <c r="B156" s="2">
        <v>142</v>
      </c>
      <c r="C156" s="24">
        <v>3.3217592592592597E-2</v>
      </c>
      <c r="D156" s="25" t="s">
        <v>257</v>
      </c>
      <c r="E156" s="19" t="s">
        <v>251</v>
      </c>
      <c r="F156" s="25" t="s">
        <v>252</v>
      </c>
      <c r="G156" s="25" t="s">
        <v>62</v>
      </c>
      <c r="H156" s="25" t="s">
        <v>217</v>
      </c>
      <c r="I156" s="25">
        <v>162</v>
      </c>
      <c r="J156" s="25" t="s">
        <v>218</v>
      </c>
      <c r="K156" s="25">
        <v>144</v>
      </c>
    </row>
    <row r="157" spans="1:11">
      <c r="A157" s="2">
        <v>150</v>
      </c>
      <c r="B157" s="2">
        <v>653</v>
      </c>
      <c r="C157" s="24">
        <v>3.3229166666666664E-2</v>
      </c>
      <c r="D157" s="25" t="s">
        <v>258</v>
      </c>
      <c r="E157" s="19" t="s">
        <v>68</v>
      </c>
      <c r="F157" s="25" t="s">
        <v>69</v>
      </c>
      <c r="G157" s="25" t="s">
        <v>26</v>
      </c>
      <c r="H157" s="25" t="s">
        <v>43</v>
      </c>
      <c r="I157" s="25">
        <v>192</v>
      </c>
      <c r="J157" s="25" t="s">
        <v>127</v>
      </c>
      <c r="K157" s="25">
        <v>145</v>
      </c>
    </row>
    <row r="158" spans="1:11">
      <c r="A158" s="2">
        <v>151</v>
      </c>
      <c r="B158" s="2">
        <v>504</v>
      </c>
      <c r="C158" s="24">
        <v>3.3298611111111112E-2</v>
      </c>
      <c r="D158" s="25" t="s">
        <v>259</v>
      </c>
      <c r="E158" s="19" t="s">
        <v>65</v>
      </c>
      <c r="F158" s="25" t="s">
        <v>66</v>
      </c>
      <c r="G158" s="25" t="s">
        <v>66</v>
      </c>
      <c r="H158" s="25" t="s">
        <v>260</v>
      </c>
      <c r="I158" s="25">
        <v>161</v>
      </c>
      <c r="J158" s="25" t="s">
        <v>218</v>
      </c>
      <c r="K158" s="25">
        <v>146</v>
      </c>
    </row>
    <row r="159" spans="1:11">
      <c r="A159" s="2">
        <v>152</v>
      </c>
      <c r="B159" s="2">
        <v>157</v>
      </c>
      <c r="C159" s="24">
        <v>3.3449074074074069E-2</v>
      </c>
      <c r="D159" s="25" t="s">
        <v>261</v>
      </c>
      <c r="E159" s="19" t="s">
        <v>102</v>
      </c>
      <c r="F159" s="25" t="s">
        <v>103</v>
      </c>
      <c r="G159" s="25" t="s">
        <v>62</v>
      </c>
      <c r="H159" s="25" t="s">
        <v>203</v>
      </c>
      <c r="I159" s="25">
        <v>191</v>
      </c>
      <c r="J159" s="25" t="s">
        <v>159</v>
      </c>
      <c r="K159" s="25">
        <v>147</v>
      </c>
    </row>
    <row r="160" spans="1:11">
      <c r="A160" s="2">
        <v>153</v>
      </c>
      <c r="B160" s="2">
        <v>503</v>
      </c>
      <c r="C160" s="24">
        <v>3.3553240740740745E-2</v>
      </c>
      <c r="D160" s="25" t="s">
        <v>262</v>
      </c>
      <c r="E160" s="19" t="s">
        <v>65</v>
      </c>
      <c r="F160" s="25" t="s">
        <v>66</v>
      </c>
      <c r="G160" s="25" t="s">
        <v>66</v>
      </c>
      <c r="H160" s="25" t="s">
        <v>79</v>
      </c>
      <c r="I160" s="25">
        <v>190</v>
      </c>
      <c r="J160" s="25" t="s">
        <v>44</v>
      </c>
      <c r="K160" s="25">
        <v>148</v>
      </c>
    </row>
    <row r="161" spans="1:11">
      <c r="A161" s="2">
        <v>154</v>
      </c>
      <c r="B161" s="2">
        <v>137</v>
      </c>
      <c r="C161" s="24">
        <v>3.3587962962962965E-2</v>
      </c>
      <c r="D161" s="25" t="s">
        <v>263</v>
      </c>
      <c r="E161" s="19" t="s">
        <v>251</v>
      </c>
      <c r="F161" s="25" t="s">
        <v>252</v>
      </c>
      <c r="G161" s="25" t="s">
        <v>62</v>
      </c>
      <c r="H161" s="25" t="s">
        <v>39</v>
      </c>
      <c r="I161" s="25">
        <v>189</v>
      </c>
      <c r="J161" s="25" t="s">
        <v>176</v>
      </c>
      <c r="K161" s="25">
        <v>149</v>
      </c>
    </row>
    <row r="162" spans="1:11">
      <c r="A162" s="2">
        <v>155</v>
      </c>
      <c r="B162" s="2">
        <v>234</v>
      </c>
      <c r="C162" s="24">
        <v>3.3738425925925929E-2</v>
      </c>
      <c r="D162" s="25" t="s">
        <v>264</v>
      </c>
      <c r="E162" s="19" t="s">
        <v>46</v>
      </c>
      <c r="F162" s="25" t="s">
        <v>47</v>
      </c>
      <c r="G162" s="25" t="s">
        <v>47</v>
      </c>
      <c r="H162" s="25" t="s">
        <v>105</v>
      </c>
      <c r="I162" s="25">
        <v>188</v>
      </c>
      <c r="J162" s="25" t="s">
        <v>149</v>
      </c>
      <c r="K162" s="25">
        <v>150</v>
      </c>
    </row>
    <row r="163" spans="1:11">
      <c r="A163" s="2">
        <v>156</v>
      </c>
      <c r="B163" s="2">
        <v>1009</v>
      </c>
      <c r="C163" s="24">
        <v>3.3912037037037039E-2</v>
      </c>
      <c r="D163" s="25" t="s">
        <v>265</v>
      </c>
      <c r="E163" s="19">
        <v>0</v>
      </c>
      <c r="F163" s="25" t="s">
        <v>111</v>
      </c>
      <c r="G163" s="25" t="s">
        <v>111</v>
      </c>
      <c r="H163" s="25" t="s">
        <v>151</v>
      </c>
      <c r="I163" s="25" t="s">
        <v>111</v>
      </c>
      <c r="J163" s="25" t="s">
        <v>111</v>
      </c>
      <c r="K163" s="25" t="s">
        <v>111</v>
      </c>
    </row>
    <row r="164" spans="1:11">
      <c r="A164" s="2">
        <v>157</v>
      </c>
      <c r="B164" s="2">
        <v>1005</v>
      </c>
      <c r="C164" s="24">
        <v>3.3981481481481481E-2</v>
      </c>
      <c r="D164" s="25" t="s">
        <v>266</v>
      </c>
      <c r="E164" s="19">
        <v>0</v>
      </c>
      <c r="F164" s="25" t="s">
        <v>111</v>
      </c>
      <c r="G164" s="25" t="s">
        <v>111</v>
      </c>
      <c r="H164" s="25" t="s">
        <v>21</v>
      </c>
      <c r="I164" s="25" t="s">
        <v>111</v>
      </c>
      <c r="J164" s="25" t="s">
        <v>111</v>
      </c>
      <c r="K164" s="25" t="s">
        <v>111</v>
      </c>
    </row>
    <row r="165" spans="1:11">
      <c r="A165" s="2">
        <v>158</v>
      </c>
      <c r="B165" s="2">
        <v>575</v>
      </c>
      <c r="C165" s="24">
        <v>3.3993055555555561E-2</v>
      </c>
      <c r="D165" s="25" t="s">
        <v>267</v>
      </c>
      <c r="E165" s="19" t="s">
        <v>18</v>
      </c>
      <c r="F165" s="25" t="s">
        <v>19</v>
      </c>
      <c r="G165" s="25" t="s">
        <v>20</v>
      </c>
      <c r="H165" s="25" t="s">
        <v>39</v>
      </c>
      <c r="I165" s="25">
        <v>187</v>
      </c>
      <c r="J165" s="25" t="s">
        <v>111</v>
      </c>
      <c r="K165" s="25" t="s">
        <v>111</v>
      </c>
    </row>
    <row r="166" spans="1:11">
      <c r="A166" s="2">
        <v>159</v>
      </c>
      <c r="B166" s="2">
        <v>200</v>
      </c>
      <c r="C166" s="24">
        <v>3.4004629629629628E-2</v>
      </c>
      <c r="D166" s="25" t="s">
        <v>268</v>
      </c>
      <c r="E166" s="19" t="s">
        <v>46</v>
      </c>
      <c r="F166" s="25" t="s">
        <v>47</v>
      </c>
      <c r="G166" s="25" t="s">
        <v>47</v>
      </c>
      <c r="H166" s="25" t="s">
        <v>105</v>
      </c>
      <c r="I166" s="25">
        <v>186</v>
      </c>
      <c r="J166" s="25" t="s">
        <v>80</v>
      </c>
      <c r="K166" s="25">
        <v>151</v>
      </c>
    </row>
    <row r="167" spans="1:11">
      <c r="A167" s="2">
        <v>160</v>
      </c>
      <c r="B167" s="2">
        <v>649</v>
      </c>
      <c r="C167" s="24">
        <v>3.4201388888888885E-2</v>
      </c>
      <c r="D167" s="25" t="s">
        <v>269</v>
      </c>
      <c r="E167" s="19" t="s">
        <v>68</v>
      </c>
      <c r="F167" s="25" t="s">
        <v>69</v>
      </c>
      <c r="G167" s="25" t="s">
        <v>26</v>
      </c>
      <c r="H167" s="25" t="s">
        <v>43</v>
      </c>
      <c r="I167" s="25">
        <v>185</v>
      </c>
      <c r="J167" s="25" t="s">
        <v>120</v>
      </c>
      <c r="K167" s="25">
        <v>152</v>
      </c>
    </row>
    <row r="168" spans="1:11">
      <c r="A168" s="2">
        <v>161</v>
      </c>
      <c r="B168" s="2">
        <v>218</v>
      </c>
      <c r="C168" s="24">
        <v>3.4270833333333334E-2</v>
      </c>
      <c r="D168" s="25" t="s">
        <v>270</v>
      </c>
      <c r="E168" s="19" t="s">
        <v>46</v>
      </c>
      <c r="F168" s="25" t="s">
        <v>47</v>
      </c>
      <c r="G168" s="25" t="s">
        <v>47</v>
      </c>
      <c r="H168" s="25" t="s">
        <v>217</v>
      </c>
      <c r="I168" s="25">
        <v>160</v>
      </c>
      <c r="J168" s="25" t="s">
        <v>271</v>
      </c>
      <c r="K168" s="25">
        <v>153</v>
      </c>
    </row>
    <row r="169" spans="1:11">
      <c r="A169" s="2">
        <v>162</v>
      </c>
      <c r="B169" s="2">
        <v>56</v>
      </c>
      <c r="C169" s="24">
        <v>3.4560185185185187E-2</v>
      </c>
      <c r="D169" s="25" t="s">
        <v>272</v>
      </c>
      <c r="E169" s="19" t="s">
        <v>117</v>
      </c>
      <c r="F169" s="25" t="s">
        <v>118</v>
      </c>
      <c r="G169" s="25" t="s">
        <v>118</v>
      </c>
      <c r="H169" s="25" t="s">
        <v>151</v>
      </c>
      <c r="I169" s="25">
        <v>159</v>
      </c>
      <c r="J169" s="25" t="s">
        <v>189</v>
      </c>
      <c r="K169" s="25">
        <v>154</v>
      </c>
    </row>
    <row r="170" spans="1:11">
      <c r="A170" s="2">
        <v>163</v>
      </c>
      <c r="B170" s="2">
        <v>525</v>
      </c>
      <c r="C170" s="24">
        <v>3.4571759259259253E-2</v>
      </c>
      <c r="D170" s="25" t="s">
        <v>273</v>
      </c>
      <c r="E170" s="19" t="s">
        <v>65</v>
      </c>
      <c r="F170" s="25" t="s">
        <v>66</v>
      </c>
      <c r="G170" s="25" t="s">
        <v>66</v>
      </c>
      <c r="H170" s="25" t="s">
        <v>151</v>
      </c>
      <c r="I170" s="25">
        <v>158</v>
      </c>
      <c r="J170" s="25" t="s">
        <v>194</v>
      </c>
      <c r="K170" s="25">
        <v>155</v>
      </c>
    </row>
    <row r="171" spans="1:11">
      <c r="A171" s="2">
        <v>164</v>
      </c>
      <c r="B171" s="2">
        <v>1019</v>
      </c>
      <c r="C171" s="24">
        <v>3.4606481481481481E-2</v>
      </c>
      <c r="D171" s="25" t="s">
        <v>274</v>
      </c>
      <c r="E171" s="19" t="s">
        <v>65</v>
      </c>
      <c r="F171" s="25" t="s">
        <v>66</v>
      </c>
      <c r="G171" s="25" t="s">
        <v>66</v>
      </c>
      <c r="H171" s="25" t="s">
        <v>140</v>
      </c>
      <c r="I171" s="25">
        <v>157</v>
      </c>
      <c r="J171" s="25" t="s">
        <v>143</v>
      </c>
      <c r="K171" s="25">
        <v>156</v>
      </c>
    </row>
    <row r="172" spans="1:11">
      <c r="A172" s="2">
        <v>165</v>
      </c>
      <c r="B172" s="2">
        <v>972</v>
      </c>
      <c r="C172" s="24">
        <v>3.4664351851851849E-2</v>
      </c>
      <c r="D172" s="25" t="s">
        <v>275</v>
      </c>
      <c r="E172" s="19" t="s">
        <v>56</v>
      </c>
      <c r="F172" s="25" t="s">
        <v>57</v>
      </c>
      <c r="G172" s="25" t="s">
        <v>58</v>
      </c>
      <c r="H172" s="25" t="s">
        <v>31</v>
      </c>
      <c r="I172" s="25">
        <v>184</v>
      </c>
      <c r="J172" s="25" t="s">
        <v>32</v>
      </c>
      <c r="K172" s="25">
        <v>157</v>
      </c>
    </row>
    <row r="173" spans="1:11">
      <c r="A173" s="2">
        <v>166</v>
      </c>
      <c r="B173" s="2">
        <v>430</v>
      </c>
      <c r="C173" s="24">
        <v>3.4837962962962959E-2</v>
      </c>
      <c r="D173" s="25" t="s">
        <v>276</v>
      </c>
      <c r="E173" s="19" t="s">
        <v>37</v>
      </c>
      <c r="F173" s="25" t="s">
        <v>38</v>
      </c>
      <c r="G173" s="25" t="s">
        <v>38</v>
      </c>
      <c r="H173" s="25" t="s">
        <v>203</v>
      </c>
      <c r="I173" s="25">
        <v>183</v>
      </c>
      <c r="J173" s="25" t="s">
        <v>149</v>
      </c>
      <c r="K173" s="25">
        <v>158</v>
      </c>
    </row>
    <row r="174" spans="1:11">
      <c r="A174" s="2">
        <v>167</v>
      </c>
      <c r="B174" s="2">
        <v>764</v>
      </c>
      <c r="C174" s="24">
        <v>3.4918981481481481E-2</v>
      </c>
      <c r="D174" s="25" t="s">
        <v>277</v>
      </c>
      <c r="E174" s="19" t="s">
        <v>49</v>
      </c>
      <c r="F174" s="25" t="s">
        <v>50</v>
      </c>
      <c r="G174" s="25" t="s">
        <v>50</v>
      </c>
      <c r="H174" s="25" t="s">
        <v>180</v>
      </c>
      <c r="I174" s="25">
        <v>156</v>
      </c>
      <c r="J174" s="25" t="s">
        <v>130</v>
      </c>
      <c r="K174" s="25">
        <v>159</v>
      </c>
    </row>
    <row r="175" spans="1:11">
      <c r="A175" s="2">
        <v>168</v>
      </c>
      <c r="B175" s="2">
        <v>31</v>
      </c>
      <c r="C175" s="24">
        <v>3.5011574074074077E-2</v>
      </c>
      <c r="D175" s="25" t="s">
        <v>278</v>
      </c>
      <c r="E175" s="19" t="s">
        <v>117</v>
      </c>
      <c r="F175" s="25" t="s">
        <v>118</v>
      </c>
      <c r="G175" s="25" t="s">
        <v>118</v>
      </c>
      <c r="H175" s="25" t="s">
        <v>279</v>
      </c>
      <c r="I175" s="25">
        <v>155</v>
      </c>
      <c r="J175" s="25" t="s">
        <v>218</v>
      </c>
      <c r="K175" s="25">
        <v>160</v>
      </c>
    </row>
    <row r="176" spans="1:11">
      <c r="A176" s="2">
        <v>169</v>
      </c>
      <c r="B176" s="2">
        <v>363</v>
      </c>
      <c r="C176" s="24">
        <v>3.5034722222222224E-2</v>
      </c>
      <c r="D176" s="25" t="s">
        <v>280</v>
      </c>
      <c r="E176" s="19" t="s">
        <v>200</v>
      </c>
      <c r="F176" s="25" t="s">
        <v>201</v>
      </c>
      <c r="G176" s="25" t="s">
        <v>201</v>
      </c>
      <c r="H176" s="25" t="s">
        <v>105</v>
      </c>
      <c r="I176" s="25">
        <v>182</v>
      </c>
      <c r="J176" s="25" t="s">
        <v>106</v>
      </c>
      <c r="K176" s="25">
        <v>161</v>
      </c>
    </row>
    <row r="177" spans="1:11">
      <c r="A177" s="2">
        <v>170</v>
      </c>
      <c r="B177" s="2">
        <v>173</v>
      </c>
      <c r="C177" s="24">
        <v>3.5069444444444445E-2</v>
      </c>
      <c r="D177" s="25" t="s">
        <v>281</v>
      </c>
      <c r="E177" s="19" t="s">
        <v>24</v>
      </c>
      <c r="F177" s="25" t="s">
        <v>25</v>
      </c>
      <c r="G177" s="25" t="s">
        <v>26</v>
      </c>
      <c r="H177" s="25" t="s">
        <v>43</v>
      </c>
      <c r="I177" s="25">
        <v>181</v>
      </c>
      <c r="J177" s="25" t="s">
        <v>32</v>
      </c>
      <c r="K177" s="25">
        <v>162</v>
      </c>
    </row>
    <row r="178" spans="1:11">
      <c r="A178" s="2">
        <v>171</v>
      </c>
      <c r="B178" s="2">
        <v>583</v>
      </c>
      <c r="C178" s="24">
        <v>3.5173611111111107E-2</v>
      </c>
      <c r="D178" s="25" t="s">
        <v>282</v>
      </c>
      <c r="E178" s="19" t="s">
        <v>87</v>
      </c>
      <c r="F178" s="25" t="s">
        <v>88</v>
      </c>
      <c r="G178" s="25" t="s">
        <v>20</v>
      </c>
      <c r="H178" s="25" t="s">
        <v>260</v>
      </c>
      <c r="I178" s="25">
        <v>154</v>
      </c>
      <c r="J178" s="25" t="s">
        <v>218</v>
      </c>
      <c r="K178" s="25">
        <v>163</v>
      </c>
    </row>
    <row r="179" spans="1:11">
      <c r="A179" s="2">
        <v>172</v>
      </c>
      <c r="B179" s="2">
        <v>637</v>
      </c>
      <c r="C179" s="24">
        <v>3.5624999999999997E-2</v>
      </c>
      <c r="D179" s="25" t="s">
        <v>283</v>
      </c>
      <c r="E179" s="19" t="s">
        <v>87</v>
      </c>
      <c r="F179" s="25" t="s">
        <v>88</v>
      </c>
      <c r="G179" s="25" t="s">
        <v>20</v>
      </c>
      <c r="H179" s="25" t="s">
        <v>43</v>
      </c>
      <c r="I179" s="25">
        <v>180</v>
      </c>
      <c r="J179" s="25" t="s">
        <v>111</v>
      </c>
      <c r="K179" s="25" t="s">
        <v>111</v>
      </c>
    </row>
    <row r="180" spans="1:11">
      <c r="A180" s="2">
        <v>173</v>
      </c>
      <c r="B180" s="2">
        <v>663</v>
      </c>
      <c r="C180" s="24">
        <v>3.5648148148148151E-2</v>
      </c>
      <c r="D180" s="25" t="s">
        <v>284</v>
      </c>
      <c r="E180" s="19" t="s">
        <v>68</v>
      </c>
      <c r="F180" s="25" t="s">
        <v>69</v>
      </c>
      <c r="G180" s="25" t="s">
        <v>26</v>
      </c>
      <c r="H180" s="25" t="s">
        <v>156</v>
      </c>
      <c r="I180" s="25">
        <v>179</v>
      </c>
      <c r="J180" s="25" t="s">
        <v>149</v>
      </c>
      <c r="K180" s="25">
        <v>164</v>
      </c>
    </row>
    <row r="181" spans="1:11">
      <c r="A181" s="2">
        <v>174</v>
      </c>
      <c r="B181" s="2">
        <v>37</v>
      </c>
      <c r="C181" s="24">
        <v>3.5706018518518519E-2</v>
      </c>
      <c r="D181" s="25" t="s">
        <v>285</v>
      </c>
      <c r="E181" s="19" t="s">
        <v>117</v>
      </c>
      <c r="F181" s="25" t="s">
        <v>118</v>
      </c>
      <c r="G181" s="25" t="s">
        <v>118</v>
      </c>
      <c r="H181" s="25" t="s">
        <v>105</v>
      </c>
      <c r="I181" s="25">
        <v>178</v>
      </c>
      <c r="J181" s="25" t="s">
        <v>149</v>
      </c>
      <c r="K181" s="25">
        <v>165</v>
      </c>
    </row>
    <row r="182" spans="1:11">
      <c r="A182" s="2">
        <v>175</v>
      </c>
      <c r="B182" s="2">
        <v>837</v>
      </c>
      <c r="C182" s="24">
        <v>3.5879629629629629E-2</v>
      </c>
      <c r="D182" s="25" t="s">
        <v>286</v>
      </c>
      <c r="E182" s="19" t="s">
        <v>68</v>
      </c>
      <c r="F182" s="25" t="s">
        <v>69</v>
      </c>
      <c r="G182" s="25" t="s">
        <v>26</v>
      </c>
      <c r="H182" s="25" t="s">
        <v>105</v>
      </c>
      <c r="I182" s="25">
        <v>177</v>
      </c>
      <c r="J182" s="25" t="s">
        <v>35</v>
      </c>
      <c r="K182" s="25">
        <v>166</v>
      </c>
    </row>
    <row r="183" spans="1:11">
      <c r="A183" s="2">
        <v>176</v>
      </c>
      <c r="B183" s="2">
        <v>631</v>
      </c>
      <c r="C183" s="24">
        <v>3.5937500000000004E-2</v>
      </c>
      <c r="D183" s="25" t="s">
        <v>287</v>
      </c>
      <c r="E183" s="19" t="s">
        <v>87</v>
      </c>
      <c r="F183" s="25" t="s">
        <v>88</v>
      </c>
      <c r="G183" s="25" t="s">
        <v>20</v>
      </c>
      <c r="H183" s="25" t="s">
        <v>129</v>
      </c>
      <c r="I183" s="25">
        <v>153</v>
      </c>
      <c r="J183" s="25" t="s">
        <v>247</v>
      </c>
      <c r="K183" s="25">
        <v>167</v>
      </c>
    </row>
    <row r="184" spans="1:11">
      <c r="A184" s="2">
        <v>177</v>
      </c>
      <c r="B184" s="2">
        <v>1010</v>
      </c>
      <c r="C184" s="24">
        <v>3.6064814814814813E-2</v>
      </c>
      <c r="D184" s="25" t="s">
        <v>288</v>
      </c>
      <c r="E184" s="19" t="s">
        <v>56</v>
      </c>
      <c r="F184" s="25" t="s">
        <v>57</v>
      </c>
      <c r="G184" s="25" t="s">
        <v>58</v>
      </c>
      <c r="H184" s="25" t="s">
        <v>156</v>
      </c>
      <c r="I184" s="25">
        <v>176</v>
      </c>
      <c r="J184" s="25" t="s">
        <v>149</v>
      </c>
      <c r="K184" s="25">
        <v>168</v>
      </c>
    </row>
    <row r="185" spans="1:11">
      <c r="A185" s="2">
        <v>178</v>
      </c>
      <c r="B185" s="2">
        <v>697</v>
      </c>
      <c r="C185" s="24">
        <v>3.6261574074074078E-2</v>
      </c>
      <c r="D185" s="25" t="s">
        <v>289</v>
      </c>
      <c r="E185" s="19" t="s">
        <v>28</v>
      </c>
      <c r="F185" s="25" t="s">
        <v>29</v>
      </c>
      <c r="G185" s="25" t="s">
        <v>29</v>
      </c>
      <c r="H185" s="25" t="s">
        <v>109</v>
      </c>
      <c r="I185" s="25">
        <v>152</v>
      </c>
      <c r="J185" s="25" t="s">
        <v>90</v>
      </c>
      <c r="K185" s="25">
        <v>169</v>
      </c>
    </row>
    <row r="186" spans="1:11">
      <c r="A186" s="2">
        <v>179</v>
      </c>
      <c r="B186" s="2">
        <v>178</v>
      </c>
      <c r="C186" s="24">
        <v>3.6469907407407402E-2</v>
      </c>
      <c r="D186" s="25" t="s">
        <v>290</v>
      </c>
      <c r="E186" s="19" t="s">
        <v>24</v>
      </c>
      <c r="F186" s="25" t="s">
        <v>25</v>
      </c>
      <c r="G186" s="25" t="s">
        <v>26</v>
      </c>
      <c r="H186" s="25" t="s">
        <v>79</v>
      </c>
      <c r="I186" s="25">
        <v>175</v>
      </c>
      <c r="J186" s="25" t="s">
        <v>97</v>
      </c>
      <c r="K186" s="25">
        <v>170</v>
      </c>
    </row>
    <row r="187" spans="1:11">
      <c r="A187" s="2">
        <v>180</v>
      </c>
      <c r="B187" s="2">
        <v>412</v>
      </c>
      <c r="C187" s="24">
        <v>3.6736111111111108E-2</v>
      </c>
      <c r="D187" s="25" t="s">
        <v>291</v>
      </c>
      <c r="E187" s="19" t="s">
        <v>37</v>
      </c>
      <c r="F187" s="25" t="s">
        <v>38</v>
      </c>
      <c r="G187" s="25" t="s">
        <v>38</v>
      </c>
      <c r="H187" s="25" t="s">
        <v>43</v>
      </c>
      <c r="I187" s="25">
        <v>174</v>
      </c>
      <c r="J187" s="25" t="s">
        <v>80</v>
      </c>
      <c r="K187" s="25">
        <v>171</v>
      </c>
    </row>
    <row r="188" spans="1:11">
      <c r="A188" s="2">
        <v>181</v>
      </c>
      <c r="B188" s="2">
        <v>138</v>
      </c>
      <c r="C188" s="24">
        <v>3.6909722222222226E-2</v>
      </c>
      <c r="D188" s="25" t="s">
        <v>292</v>
      </c>
      <c r="E188" s="19" t="s">
        <v>251</v>
      </c>
      <c r="F188" s="25" t="s">
        <v>252</v>
      </c>
      <c r="G188" s="25" t="s">
        <v>62</v>
      </c>
      <c r="H188" s="25" t="s">
        <v>39</v>
      </c>
      <c r="I188" s="25">
        <v>173</v>
      </c>
      <c r="J188" s="25" t="s">
        <v>182</v>
      </c>
      <c r="K188" s="25">
        <v>172</v>
      </c>
    </row>
    <row r="189" spans="1:11">
      <c r="A189" s="2">
        <v>182</v>
      </c>
      <c r="B189" s="2">
        <v>463</v>
      </c>
      <c r="C189" s="24">
        <v>3.7002314814814814E-2</v>
      </c>
      <c r="D189" s="25" t="s">
        <v>293</v>
      </c>
      <c r="E189" s="19" t="s">
        <v>56</v>
      </c>
      <c r="F189" s="25" t="s">
        <v>57</v>
      </c>
      <c r="G189" s="25" t="s">
        <v>58</v>
      </c>
      <c r="H189" s="25" t="s">
        <v>89</v>
      </c>
      <c r="I189" s="25">
        <v>151</v>
      </c>
      <c r="J189" s="25" t="s">
        <v>189</v>
      </c>
      <c r="K189" s="25">
        <v>173</v>
      </c>
    </row>
    <row r="190" spans="1:11">
      <c r="A190" s="2">
        <v>183</v>
      </c>
      <c r="B190" s="2">
        <v>381</v>
      </c>
      <c r="C190" s="24">
        <v>3.7222222222222219E-2</v>
      </c>
      <c r="D190" s="25" t="s">
        <v>294</v>
      </c>
      <c r="E190" s="19" t="s">
        <v>200</v>
      </c>
      <c r="F190" s="25" t="s">
        <v>201</v>
      </c>
      <c r="G190" s="25" t="s">
        <v>201</v>
      </c>
      <c r="H190" s="25" t="s">
        <v>156</v>
      </c>
      <c r="I190" s="25">
        <v>172</v>
      </c>
      <c r="J190" s="25" t="s">
        <v>149</v>
      </c>
      <c r="K190" s="25">
        <v>174</v>
      </c>
    </row>
    <row r="191" spans="1:11">
      <c r="A191" s="2">
        <v>184</v>
      </c>
      <c r="B191" s="2">
        <v>900</v>
      </c>
      <c r="C191" s="24">
        <v>3.7256944444444447E-2</v>
      </c>
      <c r="D191" s="25" t="s">
        <v>295</v>
      </c>
      <c r="E191" s="19" t="s">
        <v>87</v>
      </c>
      <c r="F191" s="25" t="s">
        <v>88</v>
      </c>
      <c r="G191" s="25" t="s">
        <v>20</v>
      </c>
      <c r="H191" s="25" t="s">
        <v>156</v>
      </c>
      <c r="I191" s="25">
        <v>171</v>
      </c>
      <c r="J191" s="25" t="s">
        <v>111</v>
      </c>
      <c r="K191" s="25" t="s">
        <v>111</v>
      </c>
    </row>
    <row r="192" spans="1:11">
      <c r="A192" s="2">
        <v>185</v>
      </c>
      <c r="B192" s="2">
        <v>3</v>
      </c>
      <c r="C192" s="24">
        <v>3.7337962962962962E-2</v>
      </c>
      <c r="D192" s="25" t="s">
        <v>296</v>
      </c>
      <c r="E192" s="19" t="s">
        <v>92</v>
      </c>
      <c r="F192" s="25" t="s">
        <v>93</v>
      </c>
      <c r="G192" s="25" t="s">
        <v>93</v>
      </c>
      <c r="H192" s="25" t="s">
        <v>279</v>
      </c>
      <c r="I192" s="25">
        <v>150</v>
      </c>
      <c r="J192" s="25" t="s">
        <v>218</v>
      </c>
      <c r="K192" s="25">
        <v>175</v>
      </c>
    </row>
    <row r="193" spans="1:11">
      <c r="A193" s="2">
        <v>186</v>
      </c>
      <c r="B193" s="2">
        <v>113</v>
      </c>
      <c r="C193" s="24">
        <v>3.7615740740740741E-2</v>
      </c>
      <c r="D193" s="25" t="s">
        <v>297</v>
      </c>
      <c r="E193" s="19" t="s">
        <v>60</v>
      </c>
      <c r="F193" s="25" t="s">
        <v>61</v>
      </c>
      <c r="G193" s="25" t="s">
        <v>62</v>
      </c>
      <c r="H193" s="25" t="s">
        <v>151</v>
      </c>
      <c r="I193" s="25">
        <v>149</v>
      </c>
      <c r="J193" s="25" t="s">
        <v>141</v>
      </c>
      <c r="K193" s="25">
        <v>176</v>
      </c>
    </row>
    <row r="194" spans="1:11">
      <c r="A194" s="2">
        <v>187</v>
      </c>
      <c r="B194" s="2">
        <v>276</v>
      </c>
      <c r="C194" s="24">
        <v>3.7662037037037036E-2</v>
      </c>
      <c r="D194" s="25" t="s">
        <v>298</v>
      </c>
      <c r="E194" s="19" t="s">
        <v>83</v>
      </c>
      <c r="F194" s="25" t="s">
        <v>84</v>
      </c>
      <c r="G194" s="25" t="s">
        <v>84</v>
      </c>
      <c r="H194" s="25" t="s">
        <v>140</v>
      </c>
      <c r="I194" s="25">
        <v>148</v>
      </c>
      <c r="J194" s="25" t="s">
        <v>194</v>
      </c>
      <c r="K194" s="25">
        <v>177</v>
      </c>
    </row>
    <row r="195" spans="1:11">
      <c r="A195" s="2">
        <v>188</v>
      </c>
      <c r="B195" s="2">
        <v>896</v>
      </c>
      <c r="C195" s="24">
        <v>3.7777777777777778E-2</v>
      </c>
      <c r="D195" s="25" t="s">
        <v>299</v>
      </c>
      <c r="E195" s="19">
        <v>0</v>
      </c>
      <c r="F195" s="25" t="s">
        <v>111</v>
      </c>
      <c r="G195" s="25" t="s">
        <v>111</v>
      </c>
      <c r="H195" s="25" t="s">
        <v>54</v>
      </c>
      <c r="I195" s="25" t="s">
        <v>111</v>
      </c>
      <c r="J195" s="25" t="s">
        <v>111</v>
      </c>
      <c r="K195" s="25" t="s">
        <v>111</v>
      </c>
    </row>
    <row r="196" spans="1:11">
      <c r="A196" s="2">
        <v>189</v>
      </c>
      <c r="B196" s="2">
        <v>630</v>
      </c>
      <c r="C196" s="24">
        <v>3.7789351851851852E-2</v>
      </c>
      <c r="D196" s="25" t="s">
        <v>300</v>
      </c>
      <c r="E196" s="19" t="s">
        <v>87</v>
      </c>
      <c r="F196" s="25" t="s">
        <v>88</v>
      </c>
      <c r="G196" s="25" t="s">
        <v>20</v>
      </c>
      <c r="H196" s="25" t="s">
        <v>109</v>
      </c>
      <c r="I196" s="25">
        <v>147</v>
      </c>
      <c r="J196" s="25" t="s">
        <v>111</v>
      </c>
      <c r="K196" s="25" t="s">
        <v>111</v>
      </c>
    </row>
    <row r="197" spans="1:11">
      <c r="A197" s="2">
        <v>190</v>
      </c>
      <c r="B197" s="2">
        <v>201</v>
      </c>
      <c r="C197" s="24">
        <v>3.7939814814814815E-2</v>
      </c>
      <c r="D197" s="25" t="s">
        <v>301</v>
      </c>
      <c r="E197" s="19" t="s">
        <v>46</v>
      </c>
      <c r="F197" s="25" t="s">
        <v>47</v>
      </c>
      <c r="G197" s="25" t="s">
        <v>47</v>
      </c>
      <c r="H197" s="25" t="s">
        <v>43</v>
      </c>
      <c r="I197" s="25">
        <v>170</v>
      </c>
      <c r="J197" s="25" t="s">
        <v>127</v>
      </c>
      <c r="K197" s="25">
        <v>178</v>
      </c>
    </row>
    <row r="198" spans="1:11">
      <c r="A198" s="2">
        <v>191</v>
      </c>
      <c r="B198" s="2">
        <v>741</v>
      </c>
      <c r="C198" s="24">
        <v>3.8009259259259263E-2</v>
      </c>
      <c r="D198" s="25" t="s">
        <v>302</v>
      </c>
      <c r="E198" s="19" t="s">
        <v>49</v>
      </c>
      <c r="F198" s="25" t="s">
        <v>50</v>
      </c>
      <c r="G198" s="25" t="s">
        <v>50</v>
      </c>
      <c r="H198" s="25" t="s">
        <v>105</v>
      </c>
      <c r="I198" s="25">
        <v>169</v>
      </c>
      <c r="J198" s="25" t="s">
        <v>32</v>
      </c>
      <c r="K198" s="25">
        <v>179</v>
      </c>
    </row>
    <row r="199" spans="1:11">
      <c r="A199" s="2">
        <v>192</v>
      </c>
      <c r="B199" s="2">
        <v>184</v>
      </c>
      <c r="C199" s="24">
        <v>3.8182870370370374E-2</v>
      </c>
      <c r="D199" s="25" t="s">
        <v>303</v>
      </c>
      <c r="E199" s="19" t="s">
        <v>24</v>
      </c>
      <c r="F199" s="25" t="s">
        <v>25</v>
      </c>
      <c r="G199" s="25" t="s">
        <v>26</v>
      </c>
      <c r="H199" s="25" t="s">
        <v>43</v>
      </c>
      <c r="I199" s="25">
        <v>168</v>
      </c>
      <c r="J199" s="25" t="s">
        <v>113</v>
      </c>
      <c r="K199" s="25">
        <v>180</v>
      </c>
    </row>
    <row r="200" spans="1:11">
      <c r="A200" s="2">
        <v>193</v>
      </c>
      <c r="B200" s="2">
        <v>665</v>
      </c>
      <c r="C200" s="24">
        <v>3.8310185185185183E-2</v>
      </c>
      <c r="D200" s="25" t="s">
        <v>304</v>
      </c>
      <c r="E200" s="19" t="s">
        <v>68</v>
      </c>
      <c r="F200" s="25" t="s">
        <v>69</v>
      </c>
      <c r="G200" s="25" t="s">
        <v>26</v>
      </c>
      <c r="H200" s="25" t="s">
        <v>79</v>
      </c>
      <c r="I200" s="25">
        <v>167</v>
      </c>
      <c r="J200" s="25" t="s">
        <v>159</v>
      </c>
      <c r="K200" s="25">
        <v>181</v>
      </c>
    </row>
    <row r="201" spans="1:11">
      <c r="A201" s="2">
        <v>194</v>
      </c>
      <c r="B201" s="2">
        <v>993</v>
      </c>
      <c r="C201" s="24">
        <v>3.8541666666666669E-2</v>
      </c>
      <c r="D201" s="25" t="s">
        <v>305</v>
      </c>
      <c r="E201" s="19" t="s">
        <v>87</v>
      </c>
      <c r="F201" s="25" t="s">
        <v>88</v>
      </c>
      <c r="G201" s="25" t="s">
        <v>20</v>
      </c>
      <c r="H201" s="25" t="s">
        <v>105</v>
      </c>
      <c r="I201" s="25">
        <v>166</v>
      </c>
      <c r="J201" s="25" t="s">
        <v>111</v>
      </c>
      <c r="K201" s="25" t="s">
        <v>111</v>
      </c>
    </row>
    <row r="202" spans="1:11">
      <c r="A202" s="2">
        <v>195</v>
      </c>
      <c r="B202" s="2">
        <v>604</v>
      </c>
      <c r="C202" s="24">
        <v>3.8553240740740742E-2</v>
      </c>
      <c r="D202" s="25" t="s">
        <v>306</v>
      </c>
      <c r="E202" s="19" t="s">
        <v>87</v>
      </c>
      <c r="F202" s="25" t="s">
        <v>88</v>
      </c>
      <c r="G202" s="25" t="s">
        <v>20</v>
      </c>
      <c r="H202" s="25" t="s">
        <v>156</v>
      </c>
      <c r="I202" s="25">
        <v>165</v>
      </c>
      <c r="J202" s="25" t="s">
        <v>111</v>
      </c>
      <c r="K202" s="25" t="s">
        <v>111</v>
      </c>
    </row>
    <row r="203" spans="1:11">
      <c r="A203" s="2">
        <v>196</v>
      </c>
      <c r="B203" s="2">
        <v>380</v>
      </c>
      <c r="C203" s="24">
        <v>3.8622685185185184E-2</v>
      </c>
      <c r="D203" s="25" t="s">
        <v>307</v>
      </c>
      <c r="E203" s="19" t="s">
        <v>200</v>
      </c>
      <c r="F203" s="25" t="s">
        <v>201</v>
      </c>
      <c r="G203" s="25" t="s">
        <v>201</v>
      </c>
      <c r="H203" s="25" t="s">
        <v>156</v>
      </c>
      <c r="I203" s="25">
        <v>164</v>
      </c>
      <c r="J203" s="25" t="s">
        <v>80</v>
      </c>
      <c r="K203" s="25">
        <v>182</v>
      </c>
    </row>
    <row r="204" spans="1:11">
      <c r="A204" s="2">
        <v>197</v>
      </c>
      <c r="B204" s="2">
        <v>215</v>
      </c>
      <c r="C204" s="24">
        <v>3.8877314814814816E-2</v>
      </c>
      <c r="D204" s="25" t="s">
        <v>308</v>
      </c>
      <c r="E204" s="19" t="s">
        <v>46</v>
      </c>
      <c r="F204" s="25" t="s">
        <v>47</v>
      </c>
      <c r="G204" s="25" t="s">
        <v>47</v>
      </c>
      <c r="H204" s="25" t="s">
        <v>140</v>
      </c>
      <c r="I204" s="25">
        <v>146</v>
      </c>
      <c r="J204" s="25" t="s">
        <v>141</v>
      </c>
      <c r="K204" s="25">
        <v>183</v>
      </c>
    </row>
    <row r="205" spans="1:11">
      <c r="A205" s="2">
        <v>198</v>
      </c>
      <c r="B205" s="2">
        <v>135</v>
      </c>
      <c r="C205" s="24">
        <v>3.8912037037037037E-2</v>
      </c>
      <c r="D205" s="25" t="s">
        <v>309</v>
      </c>
      <c r="E205" s="19" t="s">
        <v>251</v>
      </c>
      <c r="F205" s="25" t="s">
        <v>252</v>
      </c>
      <c r="G205" s="25" t="s">
        <v>62</v>
      </c>
      <c r="H205" s="25" t="s">
        <v>140</v>
      </c>
      <c r="I205" s="25">
        <v>145</v>
      </c>
      <c r="J205" s="25" t="s">
        <v>194</v>
      </c>
      <c r="K205" s="25">
        <v>184</v>
      </c>
    </row>
    <row r="206" spans="1:11">
      <c r="A206" s="2">
        <v>199</v>
      </c>
      <c r="B206" s="2">
        <v>236</v>
      </c>
      <c r="C206" s="24">
        <v>3.9108796296296301E-2</v>
      </c>
      <c r="D206" s="25" t="s">
        <v>310</v>
      </c>
      <c r="E206" s="19" t="s">
        <v>46</v>
      </c>
      <c r="F206" s="25" t="s">
        <v>47</v>
      </c>
      <c r="G206" s="25" t="s">
        <v>47</v>
      </c>
      <c r="H206" s="25" t="s">
        <v>217</v>
      </c>
      <c r="I206" s="25">
        <v>144</v>
      </c>
      <c r="J206" s="25" t="s">
        <v>194</v>
      </c>
      <c r="K206" s="25">
        <v>185</v>
      </c>
    </row>
    <row r="207" spans="1:11">
      <c r="A207" s="2">
        <v>200</v>
      </c>
      <c r="B207" s="2">
        <v>1006</v>
      </c>
      <c r="C207" s="24">
        <v>3.9131944444444448E-2</v>
      </c>
      <c r="D207" s="25" t="s">
        <v>311</v>
      </c>
      <c r="E207" s="19" t="s">
        <v>52</v>
      </c>
      <c r="F207" s="25" t="s">
        <v>53</v>
      </c>
      <c r="G207" s="25" t="s">
        <v>53</v>
      </c>
      <c r="H207" s="25" t="s">
        <v>43</v>
      </c>
      <c r="I207" s="25">
        <v>163</v>
      </c>
      <c r="J207" s="25" t="s">
        <v>80</v>
      </c>
      <c r="K207" s="25">
        <v>186</v>
      </c>
    </row>
    <row r="208" spans="1:11">
      <c r="A208" s="2">
        <v>201</v>
      </c>
      <c r="B208" s="2">
        <v>596</v>
      </c>
      <c r="C208" s="24">
        <v>3.9189814814814809E-2</v>
      </c>
      <c r="D208" s="25" t="s">
        <v>312</v>
      </c>
      <c r="E208" s="19" t="s">
        <v>87</v>
      </c>
      <c r="F208" s="25" t="s">
        <v>88</v>
      </c>
      <c r="G208" s="25" t="s">
        <v>20</v>
      </c>
      <c r="H208" s="25" t="s">
        <v>151</v>
      </c>
      <c r="I208" s="25">
        <v>143</v>
      </c>
      <c r="J208" s="25" t="s">
        <v>111</v>
      </c>
      <c r="K208" s="25" t="s">
        <v>111</v>
      </c>
    </row>
    <row r="209" spans="1:11">
      <c r="A209" s="2">
        <v>202</v>
      </c>
      <c r="B209" s="2">
        <v>398</v>
      </c>
      <c r="C209" s="24">
        <v>3.923611111111111E-2</v>
      </c>
      <c r="D209" s="25" t="s">
        <v>313</v>
      </c>
      <c r="E209" s="19" t="s">
        <v>37</v>
      </c>
      <c r="F209" s="25" t="s">
        <v>38</v>
      </c>
      <c r="G209" s="25" t="s">
        <v>38</v>
      </c>
      <c r="H209" s="25" t="s">
        <v>156</v>
      </c>
      <c r="I209" s="25">
        <v>162</v>
      </c>
      <c r="J209" s="25" t="s">
        <v>127</v>
      </c>
      <c r="K209" s="25">
        <v>187</v>
      </c>
    </row>
    <row r="210" spans="1:11">
      <c r="A210" s="2">
        <v>203</v>
      </c>
      <c r="B210" s="2">
        <v>416</v>
      </c>
      <c r="C210" s="24">
        <v>4.0011574074074074E-2</v>
      </c>
      <c r="D210" s="25" t="s">
        <v>314</v>
      </c>
      <c r="E210" s="19" t="s">
        <v>37</v>
      </c>
      <c r="F210" s="25" t="s">
        <v>38</v>
      </c>
      <c r="G210" s="25" t="s">
        <v>38</v>
      </c>
      <c r="H210" s="25" t="s">
        <v>217</v>
      </c>
      <c r="I210" s="25">
        <v>142</v>
      </c>
      <c r="J210" s="25" t="s">
        <v>218</v>
      </c>
      <c r="K210" s="25">
        <v>188</v>
      </c>
    </row>
    <row r="211" spans="1:11">
      <c r="A211" s="2">
        <v>204</v>
      </c>
      <c r="B211" s="2">
        <v>230</v>
      </c>
      <c r="C211" s="24">
        <v>4.0023148148148148E-2</v>
      </c>
      <c r="D211" s="25" t="s">
        <v>315</v>
      </c>
      <c r="E211" s="19" t="s">
        <v>46</v>
      </c>
      <c r="F211" s="25" t="s">
        <v>47</v>
      </c>
      <c r="G211" s="25" t="s">
        <v>47</v>
      </c>
      <c r="H211" s="25" t="s">
        <v>217</v>
      </c>
      <c r="I211" s="25">
        <v>141</v>
      </c>
      <c r="J211" s="25" t="s">
        <v>90</v>
      </c>
      <c r="K211" s="25">
        <v>189</v>
      </c>
    </row>
    <row r="212" spans="1:11">
      <c r="A212" s="2">
        <v>205</v>
      </c>
      <c r="B212" s="2">
        <v>679</v>
      </c>
      <c r="C212" s="24">
        <v>4.0092592592592589E-2</v>
      </c>
      <c r="D212" s="25" t="s">
        <v>316</v>
      </c>
      <c r="E212" s="19" t="s">
        <v>68</v>
      </c>
      <c r="F212" s="25" t="s">
        <v>69</v>
      </c>
      <c r="G212" s="25" t="s">
        <v>26</v>
      </c>
      <c r="H212" s="25" t="s">
        <v>129</v>
      </c>
      <c r="I212" s="25">
        <v>140</v>
      </c>
      <c r="J212" s="25" t="s">
        <v>130</v>
      </c>
      <c r="K212" s="25">
        <v>190</v>
      </c>
    </row>
    <row r="213" spans="1:11">
      <c r="A213" s="2">
        <v>206</v>
      </c>
      <c r="B213" s="2">
        <v>809</v>
      </c>
      <c r="C213" s="24">
        <v>4.0162037037037038E-2</v>
      </c>
      <c r="D213" s="25" t="s">
        <v>317</v>
      </c>
      <c r="E213" s="19" t="s">
        <v>133</v>
      </c>
      <c r="F213" s="25" t="s">
        <v>134</v>
      </c>
      <c r="G213" s="25" t="s">
        <v>62</v>
      </c>
      <c r="H213" s="25" t="s">
        <v>156</v>
      </c>
      <c r="I213" s="25">
        <v>161</v>
      </c>
      <c r="J213" s="25" t="s">
        <v>186</v>
      </c>
      <c r="K213" s="25">
        <v>191</v>
      </c>
    </row>
    <row r="214" spans="1:11">
      <c r="A214" s="2">
        <v>207</v>
      </c>
      <c r="B214" s="2">
        <v>165</v>
      </c>
      <c r="C214" s="24">
        <v>4.0185185185185185E-2</v>
      </c>
      <c r="D214" s="25" t="s">
        <v>318</v>
      </c>
      <c r="E214" s="19" t="s">
        <v>102</v>
      </c>
      <c r="F214" s="25" t="s">
        <v>103</v>
      </c>
      <c r="G214" s="25" t="s">
        <v>62</v>
      </c>
      <c r="H214" s="25" t="s">
        <v>180</v>
      </c>
      <c r="I214" s="25">
        <v>139</v>
      </c>
      <c r="J214" s="25" t="s">
        <v>130</v>
      </c>
      <c r="K214" s="25">
        <v>192</v>
      </c>
    </row>
    <row r="215" spans="1:11">
      <c r="A215" s="2">
        <v>208</v>
      </c>
      <c r="B215" s="2">
        <v>812</v>
      </c>
      <c r="C215" s="24">
        <v>4.0208333333333332E-2</v>
      </c>
      <c r="D215" s="25" t="s">
        <v>319</v>
      </c>
      <c r="E215" s="19" t="s">
        <v>133</v>
      </c>
      <c r="F215" s="25" t="s">
        <v>134</v>
      </c>
      <c r="G215" s="25" t="s">
        <v>62</v>
      </c>
      <c r="H215" s="25" t="s">
        <v>129</v>
      </c>
      <c r="I215" s="25">
        <v>138</v>
      </c>
      <c r="J215" s="25" t="s">
        <v>247</v>
      </c>
      <c r="K215" s="25">
        <v>193</v>
      </c>
    </row>
    <row r="216" spans="1:11">
      <c r="A216" s="2">
        <v>209</v>
      </c>
      <c r="B216" s="2">
        <v>373</v>
      </c>
      <c r="C216" s="24">
        <v>4.0324074074074075E-2</v>
      </c>
      <c r="D216" s="25" t="s">
        <v>320</v>
      </c>
      <c r="E216" s="19" t="s">
        <v>200</v>
      </c>
      <c r="F216" s="25" t="s">
        <v>201</v>
      </c>
      <c r="G216" s="25" t="s">
        <v>201</v>
      </c>
      <c r="H216" s="25" t="s">
        <v>217</v>
      </c>
      <c r="I216" s="25">
        <v>137</v>
      </c>
      <c r="J216" s="25" t="s">
        <v>218</v>
      </c>
      <c r="K216" s="25">
        <v>194</v>
      </c>
    </row>
    <row r="217" spans="1:11">
      <c r="A217" s="2">
        <v>210</v>
      </c>
      <c r="B217" s="2">
        <v>348</v>
      </c>
      <c r="C217" s="24">
        <v>4.0486111111111105E-2</v>
      </c>
      <c r="D217" s="25" t="s">
        <v>321</v>
      </c>
      <c r="E217" s="19" t="s">
        <v>200</v>
      </c>
      <c r="F217" s="25" t="s">
        <v>201</v>
      </c>
      <c r="G217" s="25" t="s">
        <v>201</v>
      </c>
      <c r="H217" s="25" t="s">
        <v>79</v>
      </c>
      <c r="I217" s="25">
        <v>160</v>
      </c>
      <c r="J217" s="25" t="s">
        <v>127</v>
      </c>
      <c r="K217" s="25">
        <v>195</v>
      </c>
    </row>
    <row r="218" spans="1:11">
      <c r="A218" s="2">
        <v>211</v>
      </c>
      <c r="B218" s="2">
        <v>971</v>
      </c>
      <c r="C218" s="24">
        <v>4.0567129629629627E-2</v>
      </c>
      <c r="D218" s="25" t="s">
        <v>322</v>
      </c>
      <c r="E218" s="19">
        <v>0</v>
      </c>
      <c r="F218" s="25" t="s">
        <v>111</v>
      </c>
      <c r="G218" s="25" t="s">
        <v>111</v>
      </c>
      <c r="H218" s="25" t="s">
        <v>203</v>
      </c>
      <c r="I218" s="25" t="s">
        <v>111</v>
      </c>
      <c r="J218" s="25" t="s">
        <v>111</v>
      </c>
      <c r="K218" s="25" t="s">
        <v>111</v>
      </c>
    </row>
    <row r="219" spans="1:11">
      <c r="A219" s="2">
        <v>212</v>
      </c>
      <c r="B219" s="2">
        <v>358</v>
      </c>
      <c r="C219" s="24">
        <v>4.0567129629629627E-2</v>
      </c>
      <c r="D219" s="25" t="s">
        <v>323</v>
      </c>
      <c r="E219" s="19" t="s">
        <v>200</v>
      </c>
      <c r="F219" s="25" t="s">
        <v>201</v>
      </c>
      <c r="G219" s="25" t="s">
        <v>201</v>
      </c>
      <c r="H219" s="25" t="s">
        <v>43</v>
      </c>
      <c r="I219" s="25">
        <v>159</v>
      </c>
      <c r="J219" s="25" t="s">
        <v>40</v>
      </c>
      <c r="K219" s="25">
        <v>196</v>
      </c>
    </row>
    <row r="220" spans="1:11">
      <c r="A220" s="2">
        <v>213</v>
      </c>
      <c r="B220" s="2">
        <v>590</v>
      </c>
      <c r="C220" s="24">
        <v>4.130787037037037E-2</v>
      </c>
      <c r="D220" s="25" t="s">
        <v>324</v>
      </c>
      <c r="E220" s="19" t="s">
        <v>87</v>
      </c>
      <c r="F220" s="25" t="s">
        <v>88</v>
      </c>
      <c r="G220" s="25" t="s">
        <v>20</v>
      </c>
      <c r="H220" s="25" t="s">
        <v>140</v>
      </c>
      <c r="I220" s="25">
        <v>136</v>
      </c>
      <c r="J220" s="25" t="s">
        <v>111</v>
      </c>
      <c r="K220" s="25" t="s">
        <v>111</v>
      </c>
    </row>
    <row r="221" spans="1:11">
      <c r="A221" s="2">
        <v>214</v>
      </c>
      <c r="B221" s="2">
        <v>1017</v>
      </c>
      <c r="C221" s="24">
        <v>4.1319444444444443E-2</v>
      </c>
      <c r="D221" s="25" t="s">
        <v>325</v>
      </c>
      <c r="E221" s="19" t="s">
        <v>87</v>
      </c>
      <c r="F221" s="25" t="s">
        <v>88</v>
      </c>
      <c r="G221" s="25" t="s">
        <v>20</v>
      </c>
      <c r="H221" s="25" t="s">
        <v>180</v>
      </c>
      <c r="I221" s="25">
        <v>135</v>
      </c>
      <c r="J221" s="25" t="s">
        <v>111</v>
      </c>
      <c r="K221" s="25" t="s">
        <v>111</v>
      </c>
    </row>
    <row r="222" spans="1:11">
      <c r="A222" s="2">
        <v>215</v>
      </c>
      <c r="B222" s="2">
        <v>24</v>
      </c>
      <c r="C222" s="24">
        <v>4.1574074074074076E-2</v>
      </c>
      <c r="D222" s="25" t="s">
        <v>326</v>
      </c>
      <c r="E222" s="19" t="s">
        <v>92</v>
      </c>
      <c r="F222" s="25" t="s">
        <v>93</v>
      </c>
      <c r="G222" s="25" t="s">
        <v>93</v>
      </c>
      <c r="H222" s="25" t="s">
        <v>129</v>
      </c>
      <c r="I222" s="25">
        <v>134</v>
      </c>
      <c r="J222" s="25" t="s">
        <v>247</v>
      </c>
      <c r="K222" s="25">
        <v>197</v>
      </c>
    </row>
    <row r="223" spans="1:11">
      <c r="A223" s="2">
        <v>216</v>
      </c>
      <c r="B223" s="2">
        <v>513</v>
      </c>
      <c r="C223" s="24">
        <v>4.162037037037037E-2</v>
      </c>
      <c r="D223" s="25" t="s">
        <v>327</v>
      </c>
      <c r="E223" s="19" t="s">
        <v>65</v>
      </c>
      <c r="F223" s="25" t="s">
        <v>66</v>
      </c>
      <c r="G223" s="25" t="s">
        <v>66</v>
      </c>
      <c r="H223" s="25" t="s">
        <v>109</v>
      </c>
      <c r="I223" s="25">
        <v>133</v>
      </c>
      <c r="J223" s="25" t="s">
        <v>189</v>
      </c>
      <c r="K223" s="25">
        <v>198</v>
      </c>
    </row>
    <row r="224" spans="1:11">
      <c r="A224" s="2">
        <v>217</v>
      </c>
      <c r="B224" s="2">
        <v>531</v>
      </c>
      <c r="C224" s="24">
        <v>4.1631944444444451E-2</v>
      </c>
      <c r="D224" s="25" t="s">
        <v>328</v>
      </c>
      <c r="E224" s="19" t="s">
        <v>65</v>
      </c>
      <c r="F224" s="25" t="s">
        <v>66</v>
      </c>
      <c r="G224" s="25" t="s">
        <v>66</v>
      </c>
      <c r="H224" s="25" t="s">
        <v>180</v>
      </c>
      <c r="I224" s="25">
        <v>132</v>
      </c>
      <c r="J224" s="25" t="s">
        <v>247</v>
      </c>
      <c r="K224" s="25">
        <v>199</v>
      </c>
    </row>
    <row r="225" spans="1:11">
      <c r="A225" s="2">
        <v>218</v>
      </c>
      <c r="B225" s="2">
        <v>279</v>
      </c>
      <c r="C225" s="24">
        <v>4.1724537037037039E-2</v>
      </c>
      <c r="D225" s="25" t="s">
        <v>329</v>
      </c>
      <c r="E225" s="19" t="s">
        <v>83</v>
      </c>
      <c r="F225" s="25" t="s">
        <v>84</v>
      </c>
      <c r="G225" s="25" t="s">
        <v>84</v>
      </c>
      <c r="H225" s="25" t="s">
        <v>203</v>
      </c>
      <c r="I225" s="25">
        <v>158</v>
      </c>
      <c r="J225" s="25" t="s">
        <v>106</v>
      </c>
      <c r="K225" s="25">
        <v>200</v>
      </c>
    </row>
    <row r="226" spans="1:11">
      <c r="A226" s="2">
        <v>219</v>
      </c>
      <c r="B226" s="2">
        <v>355</v>
      </c>
      <c r="C226" s="24">
        <v>4.2118055555555554E-2</v>
      </c>
      <c r="D226" s="25" t="s">
        <v>330</v>
      </c>
      <c r="E226" s="19" t="s">
        <v>200</v>
      </c>
      <c r="F226" s="25" t="s">
        <v>201</v>
      </c>
      <c r="G226" s="25" t="s">
        <v>201</v>
      </c>
      <c r="H226" s="25" t="s">
        <v>43</v>
      </c>
      <c r="I226" s="25">
        <v>157</v>
      </c>
      <c r="J226" s="25" t="s">
        <v>71</v>
      </c>
      <c r="K226" s="25">
        <v>201</v>
      </c>
    </row>
    <row r="227" spans="1:11">
      <c r="A227" s="2">
        <v>220</v>
      </c>
      <c r="B227" s="2">
        <v>280</v>
      </c>
      <c r="C227" s="24">
        <v>4.238425925925926E-2</v>
      </c>
      <c r="D227" s="25" t="s">
        <v>331</v>
      </c>
      <c r="E227" s="19" t="s">
        <v>83</v>
      </c>
      <c r="F227" s="25" t="s">
        <v>84</v>
      </c>
      <c r="G227" s="25" t="s">
        <v>84</v>
      </c>
      <c r="H227" s="25" t="s">
        <v>140</v>
      </c>
      <c r="I227" s="25">
        <v>131</v>
      </c>
      <c r="J227" s="25" t="s">
        <v>90</v>
      </c>
      <c r="K227" s="25">
        <v>202</v>
      </c>
    </row>
    <row r="228" spans="1:11">
      <c r="A228" s="2">
        <v>221</v>
      </c>
      <c r="B228" s="2">
        <v>682</v>
      </c>
      <c r="C228" s="24">
        <v>4.2476851851851849E-2</v>
      </c>
      <c r="D228" s="25" t="s">
        <v>332</v>
      </c>
      <c r="E228" s="19" t="s">
        <v>68</v>
      </c>
      <c r="F228" s="25" t="s">
        <v>69</v>
      </c>
      <c r="G228" s="25" t="s">
        <v>26</v>
      </c>
      <c r="H228" s="25" t="s">
        <v>217</v>
      </c>
      <c r="I228" s="25">
        <v>130</v>
      </c>
      <c r="J228" s="25" t="s">
        <v>218</v>
      </c>
      <c r="K228" s="25">
        <v>203</v>
      </c>
    </row>
    <row r="229" spans="1:11">
      <c r="A229" s="2">
        <v>222</v>
      </c>
      <c r="B229" s="2">
        <v>311</v>
      </c>
      <c r="C229" s="24">
        <v>4.2581018518518525E-2</v>
      </c>
      <c r="D229" s="25" t="s">
        <v>333</v>
      </c>
      <c r="E229" s="19" t="s">
        <v>75</v>
      </c>
      <c r="F229" s="25" t="s">
        <v>76</v>
      </c>
      <c r="G229" s="25" t="s">
        <v>76</v>
      </c>
      <c r="H229" s="25" t="s">
        <v>79</v>
      </c>
      <c r="I229" s="25">
        <v>156</v>
      </c>
      <c r="J229" s="25" t="s">
        <v>44</v>
      </c>
      <c r="K229" s="25">
        <v>204</v>
      </c>
    </row>
    <row r="230" spans="1:11">
      <c r="A230" s="2">
        <v>223</v>
      </c>
      <c r="B230" s="2">
        <v>93</v>
      </c>
      <c r="C230" s="24">
        <v>4.2604166666666665E-2</v>
      </c>
      <c r="D230" s="25" t="s">
        <v>334</v>
      </c>
      <c r="E230" s="19" t="s">
        <v>117</v>
      </c>
      <c r="F230" s="25" t="s">
        <v>118</v>
      </c>
      <c r="G230" s="25" t="s">
        <v>118</v>
      </c>
      <c r="H230" s="25" t="s">
        <v>180</v>
      </c>
      <c r="I230" s="25">
        <v>129</v>
      </c>
      <c r="J230" s="25" t="s">
        <v>232</v>
      </c>
      <c r="K230" s="25">
        <v>205</v>
      </c>
    </row>
    <row r="231" spans="1:11">
      <c r="A231" s="2">
        <v>224</v>
      </c>
      <c r="B231" s="2">
        <v>379</v>
      </c>
      <c r="C231" s="24">
        <v>4.2638888888888893E-2</v>
      </c>
      <c r="D231" s="25" t="s">
        <v>335</v>
      </c>
      <c r="E231" s="19" t="s">
        <v>200</v>
      </c>
      <c r="F231" s="25" t="s">
        <v>201</v>
      </c>
      <c r="G231" s="25" t="s">
        <v>201</v>
      </c>
      <c r="H231" s="25" t="s">
        <v>217</v>
      </c>
      <c r="I231" s="25">
        <v>128</v>
      </c>
      <c r="J231" s="25" t="s">
        <v>271</v>
      </c>
      <c r="K231" s="25">
        <v>206</v>
      </c>
    </row>
    <row r="232" spans="1:11">
      <c r="A232" s="2">
        <v>225</v>
      </c>
      <c r="B232" s="2">
        <v>357</v>
      </c>
      <c r="C232" s="24">
        <v>4.3078703703703702E-2</v>
      </c>
      <c r="D232" s="25" t="s">
        <v>336</v>
      </c>
      <c r="E232" s="19" t="s">
        <v>200</v>
      </c>
      <c r="F232" s="25" t="s">
        <v>201</v>
      </c>
      <c r="G232" s="25" t="s">
        <v>201</v>
      </c>
      <c r="H232" s="25" t="s">
        <v>217</v>
      </c>
      <c r="I232" s="25">
        <v>127</v>
      </c>
      <c r="J232" s="25" t="s">
        <v>130</v>
      </c>
      <c r="K232" s="25">
        <v>207</v>
      </c>
    </row>
    <row r="233" spans="1:11">
      <c r="A233" s="2">
        <v>226</v>
      </c>
      <c r="B233" s="2">
        <v>598</v>
      </c>
      <c r="C233" s="24">
        <v>4.3148148148148151E-2</v>
      </c>
      <c r="D233" s="25" t="s">
        <v>337</v>
      </c>
      <c r="E233" s="19" t="s">
        <v>87</v>
      </c>
      <c r="F233" s="25" t="s">
        <v>88</v>
      </c>
      <c r="G233" s="25" t="s">
        <v>20</v>
      </c>
      <c r="H233" s="25" t="s">
        <v>217</v>
      </c>
      <c r="I233" s="25">
        <v>126</v>
      </c>
      <c r="J233" s="25" t="s">
        <v>271</v>
      </c>
      <c r="K233" s="25">
        <v>208</v>
      </c>
    </row>
    <row r="234" spans="1:11">
      <c r="A234" s="2">
        <v>227</v>
      </c>
      <c r="B234" s="2">
        <v>622</v>
      </c>
      <c r="C234" s="24">
        <v>4.3576388888888894E-2</v>
      </c>
      <c r="D234" s="25" t="s">
        <v>338</v>
      </c>
      <c r="E234" s="19" t="s">
        <v>87</v>
      </c>
      <c r="F234" s="25" t="s">
        <v>88</v>
      </c>
      <c r="G234" s="25" t="s">
        <v>20</v>
      </c>
      <c r="H234" s="25" t="s">
        <v>140</v>
      </c>
      <c r="I234" s="25">
        <v>125</v>
      </c>
      <c r="J234" s="25" t="s">
        <v>111</v>
      </c>
      <c r="K234" s="25" t="s">
        <v>111</v>
      </c>
    </row>
    <row r="235" spans="1:11">
      <c r="A235" s="2">
        <v>228</v>
      </c>
      <c r="B235" s="2">
        <v>625</v>
      </c>
      <c r="C235" s="24">
        <v>4.3599537037037034E-2</v>
      </c>
      <c r="D235" s="25" t="s">
        <v>339</v>
      </c>
      <c r="E235" s="19" t="s">
        <v>87</v>
      </c>
      <c r="F235" s="25" t="s">
        <v>88</v>
      </c>
      <c r="G235" s="25" t="s">
        <v>20</v>
      </c>
      <c r="H235" s="25" t="s">
        <v>279</v>
      </c>
      <c r="I235" s="25">
        <v>124</v>
      </c>
      <c r="J235" s="25" t="s">
        <v>111</v>
      </c>
      <c r="K235" s="25" t="s">
        <v>111</v>
      </c>
    </row>
    <row r="236" spans="1:11">
      <c r="A236" s="2">
        <v>229</v>
      </c>
      <c r="B236" s="2">
        <v>1014</v>
      </c>
      <c r="C236" s="24">
        <v>4.3622685185185188E-2</v>
      </c>
      <c r="D236" s="25" t="s">
        <v>340</v>
      </c>
      <c r="E236" s="19">
        <v>0</v>
      </c>
      <c r="F236" s="25" t="s">
        <v>111</v>
      </c>
      <c r="G236" s="25" t="s">
        <v>111</v>
      </c>
      <c r="H236" s="25" t="s">
        <v>31</v>
      </c>
      <c r="I236" s="25" t="s">
        <v>111</v>
      </c>
      <c r="J236" s="25" t="s">
        <v>111</v>
      </c>
      <c r="K236" s="25" t="s">
        <v>111</v>
      </c>
    </row>
    <row r="237" spans="1:11">
      <c r="A237" s="2">
        <v>230</v>
      </c>
      <c r="B237" s="2">
        <v>953</v>
      </c>
      <c r="C237" s="24">
        <v>4.3969907407407409E-2</v>
      </c>
      <c r="D237" s="25" t="s">
        <v>341</v>
      </c>
      <c r="E237" s="19" t="s">
        <v>68</v>
      </c>
      <c r="F237" s="25" t="s">
        <v>69</v>
      </c>
      <c r="G237" s="25" t="s">
        <v>26</v>
      </c>
      <c r="H237" s="25" t="s">
        <v>180</v>
      </c>
      <c r="I237" s="25">
        <v>123</v>
      </c>
      <c r="J237" s="25" t="s">
        <v>247</v>
      </c>
      <c r="K237" s="25">
        <v>209</v>
      </c>
    </row>
    <row r="238" spans="1:11">
      <c r="A238" s="2">
        <v>231</v>
      </c>
      <c r="B238" s="2">
        <v>166</v>
      </c>
      <c r="C238" s="24">
        <v>4.4004629629629623E-2</v>
      </c>
      <c r="D238" s="25" t="s">
        <v>342</v>
      </c>
      <c r="E238" s="19" t="s">
        <v>102</v>
      </c>
      <c r="F238" s="25" t="s">
        <v>103</v>
      </c>
      <c r="G238" s="25" t="s">
        <v>62</v>
      </c>
      <c r="H238" s="25" t="s">
        <v>180</v>
      </c>
      <c r="I238" s="25">
        <v>122</v>
      </c>
      <c r="J238" s="25" t="s">
        <v>232</v>
      </c>
      <c r="K238" s="25">
        <v>210</v>
      </c>
    </row>
    <row r="239" spans="1:11">
      <c r="A239" s="2">
        <v>232</v>
      </c>
      <c r="B239" s="2">
        <v>238</v>
      </c>
      <c r="C239" s="24">
        <v>4.4166666666666667E-2</v>
      </c>
      <c r="D239" s="25" t="s">
        <v>343</v>
      </c>
      <c r="E239" s="19" t="s">
        <v>46</v>
      </c>
      <c r="F239" s="25" t="s">
        <v>47</v>
      </c>
      <c r="G239" s="25" t="s">
        <v>47</v>
      </c>
      <c r="H239" s="25" t="s">
        <v>203</v>
      </c>
      <c r="I239" s="25">
        <v>155</v>
      </c>
      <c r="J239" s="25" t="s">
        <v>71</v>
      </c>
      <c r="K239" s="25">
        <v>211</v>
      </c>
    </row>
    <row r="240" spans="1:11">
      <c r="A240" s="2">
        <v>233</v>
      </c>
      <c r="B240" s="2">
        <v>626</v>
      </c>
      <c r="C240" s="24">
        <v>4.4224537037037041E-2</v>
      </c>
      <c r="D240" s="25" t="s">
        <v>344</v>
      </c>
      <c r="E240" s="19" t="s">
        <v>87</v>
      </c>
      <c r="F240" s="25" t="s">
        <v>88</v>
      </c>
      <c r="G240" s="25" t="s">
        <v>20</v>
      </c>
      <c r="H240" s="25" t="s">
        <v>279</v>
      </c>
      <c r="I240" s="25">
        <v>121</v>
      </c>
      <c r="J240" s="25" t="s">
        <v>111</v>
      </c>
      <c r="K240" s="25" t="s">
        <v>111</v>
      </c>
    </row>
    <row r="241" spans="1:11">
      <c r="A241" s="2">
        <v>234</v>
      </c>
      <c r="B241" s="2">
        <v>78</v>
      </c>
      <c r="C241" s="24">
        <v>4.4849537037037035E-2</v>
      </c>
      <c r="D241" s="25" t="s">
        <v>345</v>
      </c>
      <c r="E241" s="19" t="s">
        <v>117</v>
      </c>
      <c r="F241" s="25" t="s">
        <v>118</v>
      </c>
      <c r="G241" s="25" t="s">
        <v>118</v>
      </c>
      <c r="H241" s="25" t="s">
        <v>140</v>
      </c>
      <c r="I241" s="25">
        <v>120</v>
      </c>
      <c r="J241" s="25" t="s">
        <v>235</v>
      </c>
      <c r="K241" s="25">
        <v>212</v>
      </c>
    </row>
    <row r="242" spans="1:11">
      <c r="A242" s="2">
        <v>235</v>
      </c>
      <c r="B242" s="2">
        <v>1004</v>
      </c>
      <c r="C242" s="24">
        <v>4.5162037037037035E-2</v>
      </c>
      <c r="D242" s="25" t="s">
        <v>346</v>
      </c>
      <c r="E242" s="19" t="s">
        <v>83</v>
      </c>
      <c r="F242" s="25" t="s">
        <v>84</v>
      </c>
      <c r="G242" s="25" t="s">
        <v>84</v>
      </c>
      <c r="H242" s="25" t="s">
        <v>79</v>
      </c>
      <c r="I242" s="25">
        <v>154</v>
      </c>
      <c r="J242" s="25" t="s">
        <v>71</v>
      </c>
      <c r="K242" s="25">
        <v>213</v>
      </c>
    </row>
    <row r="243" spans="1:11">
      <c r="A243" s="2">
        <v>236</v>
      </c>
      <c r="B243" s="2">
        <v>664</v>
      </c>
      <c r="C243" s="24">
        <v>4.5243055555555557E-2</v>
      </c>
      <c r="D243" s="25" t="s">
        <v>347</v>
      </c>
      <c r="E243" s="19" t="s">
        <v>68</v>
      </c>
      <c r="F243" s="25" t="s">
        <v>69</v>
      </c>
      <c r="G243" s="25" t="s">
        <v>26</v>
      </c>
      <c r="H243" s="25" t="s">
        <v>129</v>
      </c>
      <c r="I243" s="25">
        <v>119</v>
      </c>
      <c r="J243" s="25" t="s">
        <v>141</v>
      </c>
      <c r="K243" s="25">
        <v>214</v>
      </c>
    </row>
    <row r="244" spans="1:11">
      <c r="A244" s="2">
        <v>237</v>
      </c>
      <c r="B244" s="2">
        <v>618</v>
      </c>
      <c r="C244" s="24">
        <v>4.5937499999999999E-2</v>
      </c>
      <c r="D244" s="25" t="s">
        <v>348</v>
      </c>
      <c r="E244" s="19" t="s">
        <v>87</v>
      </c>
      <c r="F244" s="25" t="s">
        <v>88</v>
      </c>
      <c r="G244" s="25" t="s">
        <v>20</v>
      </c>
      <c r="H244" s="25" t="s">
        <v>180</v>
      </c>
      <c r="I244" s="25">
        <v>118</v>
      </c>
      <c r="J244" s="25" t="s">
        <v>111</v>
      </c>
      <c r="K244" s="25" t="s">
        <v>111</v>
      </c>
    </row>
    <row r="245" spans="1:11">
      <c r="A245" s="2">
        <v>238</v>
      </c>
      <c r="B245" s="2">
        <v>535</v>
      </c>
      <c r="C245" s="24">
        <v>5.5983796296296295E-2</v>
      </c>
      <c r="D245" s="25" t="s">
        <v>349</v>
      </c>
      <c r="E245" s="19" t="s">
        <v>65</v>
      </c>
      <c r="F245" s="25" t="s">
        <v>66</v>
      </c>
      <c r="G245" s="25" t="s">
        <v>66</v>
      </c>
      <c r="H245" s="25" t="s">
        <v>43</v>
      </c>
      <c r="I245" s="25">
        <v>153</v>
      </c>
      <c r="J245" s="25" t="s">
        <v>80</v>
      </c>
      <c r="K245" s="25">
        <v>215</v>
      </c>
    </row>
    <row r="247" spans="1:11">
      <c r="A247" s="26" t="s">
        <v>350</v>
      </c>
    </row>
    <row r="248" spans="1:11">
      <c r="B248" s="2">
        <v>811</v>
      </c>
      <c r="D248" s="2" t="s">
        <v>351</v>
      </c>
      <c r="E248" s="4" t="s">
        <v>133</v>
      </c>
      <c r="F248" s="2" t="s">
        <v>134</v>
      </c>
    </row>
    <row r="249" spans="1:11">
      <c r="B249" s="2">
        <v>67</v>
      </c>
      <c r="D249" s="2" t="s">
        <v>352</v>
      </c>
      <c r="E249" s="4" t="s">
        <v>117</v>
      </c>
      <c r="F249" s="2" t="s">
        <v>118</v>
      </c>
    </row>
    <row r="251" spans="1:11">
      <c r="A251" s="26" t="s">
        <v>350</v>
      </c>
    </row>
    <row r="252" spans="1:11">
      <c r="B252" s="2">
        <v>811</v>
      </c>
      <c r="D252" s="2" t="s">
        <v>351</v>
      </c>
      <c r="E252" s="4" t="s">
        <v>133</v>
      </c>
      <c r="F252" s="2" t="s">
        <v>134</v>
      </c>
    </row>
    <row r="253" spans="1:11">
      <c r="B253" s="2">
        <v>67</v>
      </c>
      <c r="D253" s="2" t="s">
        <v>352</v>
      </c>
      <c r="E253" s="4" t="s">
        <v>117</v>
      </c>
      <c r="F253" s="2" t="s">
        <v>118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S571"/>
  <sheetViews>
    <sheetView topLeftCell="Y166" workbookViewId="0">
      <selection activeCell="R3" sqref="R3"/>
    </sheetView>
  </sheetViews>
  <sheetFormatPr defaultRowHeight="12.75" outlineLevelRow="1" outlineLevelCol="1"/>
  <cols>
    <col min="1" max="1" width="7.28515625" style="2" customWidth="1"/>
    <col min="2" max="4" width="8.7109375" style="2" customWidth="1"/>
    <col min="5" max="5" width="22.5703125" style="2" customWidth="1"/>
    <col min="6" max="6" width="8.28515625" style="2" customWidth="1"/>
    <col min="7" max="12" width="7.140625" style="2" customWidth="1"/>
    <col min="13" max="13" width="8.7109375" style="2" customWidth="1"/>
    <col min="14" max="15" width="8.140625" style="2" customWidth="1"/>
    <col min="16" max="16" width="10.42578125" style="2" hidden="1" customWidth="1" outlineLevel="1"/>
    <col min="17" max="17" width="9.140625" style="2" collapsed="1"/>
    <col min="18" max="23" width="9.140625" style="2" customWidth="1"/>
    <col min="24" max="24" width="13.140625" style="2" customWidth="1"/>
    <col min="25" max="27" width="9.140625" style="2" customWidth="1"/>
    <col min="28" max="28" width="9.140625" style="2" collapsed="1"/>
    <col min="29" max="30" width="9.140625" style="2"/>
    <col min="31" max="31" width="8.85546875" style="2" customWidth="1"/>
    <col min="32" max="35" width="12.28515625" style="2" customWidth="1"/>
    <col min="36" max="37" width="8.85546875" style="2" customWidth="1"/>
    <col min="38" max="42" width="9.140625" style="2"/>
    <col min="43" max="43" width="1.7109375" style="2" customWidth="1"/>
    <col min="44" max="16384" width="9.140625" style="2"/>
  </cols>
  <sheetData>
    <row r="1" spans="1:45" hidden="1" outlineLevel="1">
      <c r="S1" s="27"/>
      <c r="T1" s="27"/>
      <c r="U1" s="27"/>
      <c r="V1" s="27"/>
      <c r="W1" s="27"/>
      <c r="X1" s="28" t="s">
        <v>353</v>
      </c>
      <c r="Y1" s="29" t="s">
        <v>354</v>
      </c>
      <c r="Z1" s="27" t="str">
        <f>IF(ISBLANK(Y1),"X",IF(AND(Y1&lt;115,Y1&gt;95),Y1+1,Y1))</f>
        <v xml:space="preserve">Formula to correct scores psoted </v>
      </c>
      <c r="AA1" s="27" t="str">
        <f>IF(OR(AA$6&gt;$F$5,AA$6&gt;COUNT($G1:$L1)),"",LARGE($G1:$L1,AA$6))</f>
        <v/>
      </c>
      <c r="AB1" s="27" t="str">
        <f>IF(OR(AB$6&gt;$F$5,AB$6&gt;COUNT($G1:$L1)),"",LARGE($G1:$L1,AB$6))</f>
        <v/>
      </c>
      <c r="AC1" s="27" t="str">
        <f>IF(OR(AC$6&gt;$F$5,AC$6&gt;COUNT($G1:$L1)),"",LARGE($G1:$L1,AC$6))</f>
        <v/>
      </c>
      <c r="AD1" s="27" t="str">
        <f>IF(OR(AD$6&gt;$F$5,AD$6&gt;COUNT($G1:$L1)),"",LARGE($G1:$L1,AD$6))</f>
        <v/>
      </c>
      <c r="AE1" s="1"/>
      <c r="AF1" s="1"/>
      <c r="AG1" s="1"/>
      <c r="AH1" s="1"/>
      <c r="AI1" s="1"/>
      <c r="AJ1" s="1"/>
      <c r="AK1" s="1"/>
      <c r="AQ1" s="30"/>
    </row>
    <row r="2" spans="1:45" hidden="1" outlineLevel="1">
      <c r="A2" s="2" t="s">
        <v>355</v>
      </c>
      <c r="G2" s="31" t="s">
        <v>356</v>
      </c>
      <c r="H2" s="2" t="b">
        <f>SUM(H6:H458)&gt;0</f>
        <v>1</v>
      </c>
      <c r="L2" s="31" t="s">
        <v>357</v>
      </c>
      <c r="M2" s="32">
        <f>IFERROR(LARGE(G2:L2,1),0)+IF($F$5&gt;=2,IFERROR(LARGE(G2:L2,2),0),0)+IF($F$5&gt;=3,IFERROR(LARGE(G2:L2,3),0),0)+IF($F$5&gt;=4,IFERROR(LARGE(G2:L2,4),0),0)+IF($F$5&gt;=5,IFERROR(LARGE(G2:L2,5),0),0)+IF($F$5&gt;=6,IFERROR(LARGE(G2:L2,6),0),0)</f>
        <v>0</v>
      </c>
      <c r="N2" s="32" t="s">
        <v>1329</v>
      </c>
      <c r="O2" s="32"/>
      <c r="P2" s="32">
        <f>M2-(ROW(M2)-ROW(M$6))/10000</f>
        <v>4.0000000000000002E-4</v>
      </c>
      <c r="Q2" s="32">
        <f>COUNT(G2:L2)</f>
        <v>0</v>
      </c>
      <c r="R2" s="32">
        <f ca="1">IF(AND(Q2=1,OFFSET(F2,0,R$3)&gt;0),"Y",0)</f>
        <v>0</v>
      </c>
      <c r="S2" s="33">
        <v>0</v>
      </c>
      <c r="T2" s="34">
        <f>1-(S2=S1)</f>
        <v>0</v>
      </c>
      <c r="U2" s="34">
        <f ca="1">OFFSET(F2,0,$R$3)</f>
        <v>0</v>
      </c>
      <c r="V2" s="34">
        <f>-SUMPRODUCT((S1:S$6=S2)*(X1:X$6=X2))</f>
        <v>-1</v>
      </c>
      <c r="W2" s="34">
        <f>-SUMPRODUCT((S1:S$6=S2)*(X1:X$6=X2)*(B1:B$6&lt;&gt;"NS"))</f>
        <v>-1</v>
      </c>
      <c r="X2" s="35">
        <f>M2+SUMPRODUCT(Y$4:AD$4,Y2:AD2)</f>
        <v>0</v>
      </c>
      <c r="Y2" s="29"/>
      <c r="Z2" s="27"/>
      <c r="AA2" s="27"/>
      <c r="AB2" s="27"/>
      <c r="AC2" s="27"/>
      <c r="AE2" s="31" t="s">
        <v>358</v>
      </c>
      <c r="AF2" s="36" t="e">
        <v>#N/A</v>
      </c>
      <c r="AG2" s="36" t="e">
        <f>IF($AF2="Query O/S",AN2,0)</f>
        <v>#N/A</v>
      </c>
      <c r="AH2" s="36" t="e">
        <f>IF($AF2="Query O/S",AO2,0)</f>
        <v>#N/A</v>
      </c>
      <c r="AI2" s="36" t="e">
        <f>IF($AF2="Query O/S",AP2,0)</f>
        <v>#N/A</v>
      </c>
      <c r="AJ2" s="37"/>
      <c r="AK2" s="38"/>
      <c r="AL2" s="39">
        <f>MAX(G2:L2)</f>
        <v>0</v>
      </c>
      <c r="AM2" s="32">
        <f>(IFERROR(LARGE(G2:L2,1),0)+IF($AM$3&gt;=2,IFERROR(LARGE(G2:L2,2),0),0)+IF($AM$3&gt;=3,IFERROR(LARGE(G2:L2,3),0),0)+IF($AM$3&gt;=4,IFERROR(LARGE(G2:L2,4),0),0)+IF($AM$3&gt;=5,IFERROR(LARGE(G2:L2,5),0),0)+IF($AM$3&gt;=6,IFERROR(LARGE(G2:L2,6),0),0)+AL2)*(N2="Y")</f>
        <v>0</v>
      </c>
      <c r="AQ2" s="30"/>
    </row>
    <row r="3" spans="1:45" hidden="1" outlineLevel="1">
      <c r="C3" s="40">
        <f>IF(OR(V3&lt;0,V4&lt;0),"="&amp;A3+V3&amp;" ",A3)</f>
        <v>0</v>
      </c>
      <c r="D3" s="40">
        <f>IF(OR(W3&lt;0,W4&lt;0),"="&amp;B3+W3&amp;" ",B3)</f>
        <v>0</v>
      </c>
      <c r="E3" s="41" t="s">
        <v>359</v>
      </c>
      <c r="F3" s="31"/>
      <c r="G3" s="31"/>
      <c r="H3" s="31"/>
      <c r="I3" s="31"/>
      <c r="J3" s="31"/>
      <c r="K3" s="31"/>
      <c r="L3" s="31"/>
      <c r="M3" s="27"/>
      <c r="N3" s="27"/>
      <c r="P3" s="42"/>
      <c r="Q3" s="27" t="s">
        <v>360</v>
      </c>
      <c r="R3" s="43">
        <v>5</v>
      </c>
      <c r="S3" s="41" t="s">
        <v>361</v>
      </c>
      <c r="T3" s="44" t="s">
        <v>362</v>
      </c>
      <c r="X3" s="1" t="s">
        <v>363</v>
      </c>
      <c r="Y3" s="29">
        <f>IF(Y6&gt;$F$5,0,1)</f>
        <v>1</v>
      </c>
      <c r="Z3" s="29">
        <f t="shared" ref="Z3:AD3" si="0">IF(Z6&gt;$F$5,0,1)</f>
        <v>1</v>
      </c>
      <c r="AA3" s="29">
        <f t="shared" si="0"/>
        <v>1</v>
      </c>
      <c r="AB3" s="29">
        <f t="shared" si="0"/>
        <v>0</v>
      </c>
      <c r="AC3" s="29">
        <f t="shared" si="0"/>
        <v>0</v>
      </c>
      <c r="AD3" s="29">
        <f t="shared" si="0"/>
        <v>0</v>
      </c>
      <c r="AL3" s="1" t="s">
        <v>364</v>
      </c>
      <c r="AM3" s="3">
        <f>$F$5-1</f>
        <v>2</v>
      </c>
      <c r="AN3" s="1" t="s">
        <v>365</v>
      </c>
      <c r="AQ3" s="30"/>
    </row>
    <row r="4" spans="1:45" s="15" customFormat="1" ht="38.25" customHeight="1" collapsed="1" thickBot="1">
      <c r="A4" s="15" t="s">
        <v>1318</v>
      </c>
      <c r="S4" s="45"/>
      <c r="T4" s="46">
        <f>SUM(T6:T458)</f>
        <v>0</v>
      </c>
      <c r="U4" s="1"/>
      <c r="V4" s="1"/>
      <c r="W4" s="1"/>
      <c r="X4" s="1" t="s">
        <v>366</v>
      </c>
      <c r="Y4" s="29">
        <f>Y3*1/1000</f>
        <v>1E-3</v>
      </c>
      <c r="Z4" s="29">
        <f>Z3*1/10000</f>
        <v>1E-4</v>
      </c>
      <c r="AA4" s="29">
        <f>AA3*1/100000</f>
        <v>1.0000000000000001E-5</v>
      </c>
      <c r="AB4" s="29">
        <f>AB3*1/1000000</f>
        <v>0</v>
      </c>
      <c r="AC4" s="29">
        <f>AC3*1/10000000</f>
        <v>0</v>
      </c>
      <c r="AD4" s="29">
        <f>AD3*1/100000000</f>
        <v>0</v>
      </c>
      <c r="AM4" s="41" t="s">
        <v>367</v>
      </c>
      <c r="AQ4" s="47" t="s">
        <v>368</v>
      </c>
    </row>
    <row r="5" spans="1:45" s="26" customFormat="1">
      <c r="D5" s="26" t="s">
        <v>369</v>
      </c>
      <c r="F5" s="48">
        <v>3</v>
      </c>
      <c r="M5" s="49" t="str">
        <f>"Total is best " &amp;F5&amp;" races"</f>
        <v>Total is best 3 races</v>
      </c>
      <c r="S5" s="26" t="s">
        <v>370</v>
      </c>
      <c r="V5" s="1"/>
      <c r="W5" s="1"/>
      <c r="Y5" s="26" t="s">
        <v>371</v>
      </c>
      <c r="AG5" s="26" t="s">
        <v>372</v>
      </c>
      <c r="AJ5" s="26" t="s">
        <v>373</v>
      </c>
      <c r="AN5" s="41" t="s">
        <v>374</v>
      </c>
      <c r="AQ5" s="50"/>
    </row>
    <row r="6" spans="1:45" s="26" customFormat="1" ht="42" customHeight="1">
      <c r="A6" s="26" t="s">
        <v>375</v>
      </c>
      <c r="B6" s="51" t="s">
        <v>376</v>
      </c>
      <c r="C6" s="26" t="s">
        <v>375</v>
      </c>
      <c r="D6" s="51" t="s">
        <v>376</v>
      </c>
      <c r="E6" s="26" t="s">
        <v>377</v>
      </c>
      <c r="F6" s="52" t="s">
        <v>378</v>
      </c>
      <c r="G6" s="52" t="s">
        <v>379</v>
      </c>
      <c r="H6" s="52" t="s">
        <v>380</v>
      </c>
      <c r="I6" s="52" t="s">
        <v>381</v>
      </c>
      <c r="J6" s="52" t="s">
        <v>382</v>
      </c>
      <c r="K6" s="52" t="s">
        <v>383</v>
      </c>
      <c r="L6" s="52" t="s">
        <v>384</v>
      </c>
      <c r="M6" s="52" t="s">
        <v>385</v>
      </c>
      <c r="N6" s="53" t="s">
        <v>386</v>
      </c>
      <c r="O6" s="53" t="s">
        <v>387</v>
      </c>
      <c r="P6" s="54" t="s">
        <v>388</v>
      </c>
      <c r="Q6" s="20" t="s">
        <v>389</v>
      </c>
      <c r="R6" s="53" t="s">
        <v>390</v>
      </c>
      <c r="S6" s="52" t="s">
        <v>391</v>
      </c>
      <c r="T6" s="52"/>
      <c r="U6" s="20" t="s">
        <v>392</v>
      </c>
      <c r="V6" s="55" t="s">
        <v>393</v>
      </c>
      <c r="W6" s="55" t="s">
        <v>394</v>
      </c>
      <c r="X6" s="55" t="s">
        <v>395</v>
      </c>
      <c r="Y6" s="56">
        <v>1</v>
      </c>
      <c r="Z6" s="56">
        <v>2</v>
      </c>
      <c r="AA6" s="56">
        <v>3</v>
      </c>
      <c r="AB6" s="56">
        <v>4</v>
      </c>
      <c r="AC6" s="56">
        <v>5</v>
      </c>
      <c r="AD6" s="56">
        <v>6</v>
      </c>
      <c r="AE6" s="56"/>
      <c r="AF6" s="57" t="s">
        <v>396</v>
      </c>
      <c r="AG6" s="22" t="s">
        <v>397</v>
      </c>
      <c r="AH6" s="22" t="s">
        <v>398</v>
      </c>
      <c r="AI6" s="22" t="s">
        <v>399</v>
      </c>
      <c r="AJ6" s="57" t="s">
        <v>400</v>
      </c>
      <c r="AK6" s="57" t="s">
        <v>401</v>
      </c>
      <c r="AL6" s="22" t="s">
        <v>402</v>
      </c>
      <c r="AM6" s="22" t="s">
        <v>403</v>
      </c>
      <c r="AN6" s="22" t="s">
        <v>397</v>
      </c>
      <c r="AO6" s="22" t="s">
        <v>398</v>
      </c>
      <c r="AP6" s="22" t="s">
        <v>399</v>
      </c>
      <c r="AQ6" s="50"/>
    </row>
    <row r="7" spans="1:45" s="26" customFormat="1">
      <c r="E7" s="26" t="s">
        <v>404</v>
      </c>
      <c r="F7" s="52"/>
      <c r="G7" s="52"/>
      <c r="H7" s="29"/>
      <c r="I7" s="52"/>
      <c r="J7" s="52"/>
      <c r="K7" s="52"/>
      <c r="L7" s="52"/>
      <c r="M7" s="52"/>
      <c r="N7" s="52"/>
      <c r="O7" s="52"/>
      <c r="P7" s="52"/>
      <c r="Q7" s="52"/>
      <c r="R7" s="52"/>
      <c r="S7" s="52" t="s">
        <v>21</v>
      </c>
      <c r="T7" s="52"/>
      <c r="U7" s="52"/>
      <c r="X7" s="52"/>
      <c r="Y7" s="32"/>
      <c r="Z7" s="32"/>
      <c r="AA7" s="32"/>
      <c r="AB7" s="32"/>
      <c r="AC7" s="32"/>
      <c r="AD7" s="32"/>
      <c r="AE7" s="32"/>
      <c r="AJ7" s="58"/>
      <c r="AK7" s="58"/>
      <c r="AN7" s="39">
        <v>898</v>
      </c>
      <c r="AO7" s="39">
        <v>895</v>
      </c>
      <c r="AP7" s="39">
        <v>874</v>
      </c>
      <c r="AQ7" s="50"/>
    </row>
    <row r="8" spans="1:45" s="26" customFormat="1">
      <c r="A8" s="1">
        <v>1</v>
      </c>
      <c r="B8" s="1">
        <v>1</v>
      </c>
      <c r="C8" s="40">
        <f t="shared" ref="C8:D59" si="1">IF(OR(V8&lt;0,V9&lt;0),"="&amp;A8+V8&amp;" ",A8)</f>
        <v>1</v>
      </c>
      <c r="D8" s="40">
        <f>IF(OR(W8&lt;0,W9&lt;0),"="&amp;B8+W8&amp;" ",B8)</f>
        <v>1</v>
      </c>
      <c r="E8" s="1" t="s">
        <v>23</v>
      </c>
      <c r="F8" s="29" t="s">
        <v>25</v>
      </c>
      <c r="G8" s="29"/>
      <c r="H8" s="29">
        <v>298</v>
      </c>
      <c r="I8" s="52">
        <v>300</v>
      </c>
      <c r="J8" s="52">
        <v>300</v>
      </c>
      <c r="K8" s="52">
        <v>299</v>
      </c>
      <c r="L8" s="52"/>
      <c r="M8" s="32">
        <f t="shared" ref="M8:M59" si="2">IFERROR(LARGE(G8:L8,1),0)+IF($F$5&gt;=2,IFERROR(LARGE(G8:L8,2),0),0)+IF($F$5&gt;=3,IFERROR(LARGE(G8:L8,3),0),0)+IF($F$5&gt;=4,IFERROR(LARGE(G8:L8,4),0),0)+IF($F$5&gt;=5,IFERROR(LARGE(G8:L8,5),0),0)+IF($F$5&gt;=6,IFERROR(LARGE(G8:L8,6),0),0)</f>
        <v>899</v>
      </c>
      <c r="N8" s="32" t="s">
        <v>1330</v>
      </c>
      <c r="O8" s="32" t="s">
        <v>22</v>
      </c>
      <c r="P8" s="32">
        <f t="shared" ref="P8:P59" si="3">M8-(ROW(M8)-ROW(M$6))/10000</f>
        <v>898.99980000000005</v>
      </c>
      <c r="Q8" s="32">
        <f t="shared" ref="Q8:Q59" si="4">COUNT(G8:L8)</f>
        <v>4</v>
      </c>
      <c r="R8" s="32">
        <f t="shared" ref="R8:R59" ca="1" si="5">IF(AND(Q8=1,OFFSET(F8,0,R$3)&gt;0),"Y",0)</f>
        <v>0</v>
      </c>
      <c r="S8" s="33" t="s">
        <v>21</v>
      </c>
      <c r="T8" s="34">
        <f t="shared" ref="T8:T59" si="6">1-(S8=S7)</f>
        <v>0</v>
      </c>
      <c r="U8" s="34">
        <f t="shared" ref="U8:U59" ca="1" si="7">OFFSET(F8,0,$R$3)</f>
        <v>299</v>
      </c>
      <c r="V8" s="34">
        <f>-SUMPRODUCT((S$6:S7=S8)*(X$6:X7=X8))</f>
        <v>0</v>
      </c>
      <c r="W8" s="34">
        <f>-SUMPRODUCT((S$6:S7=S8)*(X$6:X7=X8)*(B$6:B7&lt;&gt;"NS"))</f>
        <v>0</v>
      </c>
      <c r="X8" s="35">
        <f t="shared" ref="X8:X59" si="8">M8+SUMPRODUCT(Y$4:AD$4,Y8:AD8)</f>
        <v>899.33299</v>
      </c>
      <c r="Y8" s="52">
        <v>300</v>
      </c>
      <c r="Z8" s="52">
        <v>300</v>
      </c>
      <c r="AA8" s="52">
        <v>299</v>
      </c>
      <c r="AB8" s="29">
        <v>298</v>
      </c>
      <c r="AC8" s="29"/>
      <c r="AD8" s="52"/>
      <c r="AE8" s="32"/>
      <c r="AF8" s="36">
        <v>0</v>
      </c>
      <c r="AG8" s="36">
        <v>0</v>
      </c>
      <c r="AH8" s="36">
        <v>0</v>
      </c>
      <c r="AI8" s="36">
        <v>0</v>
      </c>
      <c r="AJ8" s="37">
        <v>3</v>
      </c>
      <c r="AK8" s="38">
        <v>898.33277999999996</v>
      </c>
      <c r="AL8" s="39">
        <v>300</v>
      </c>
      <c r="AM8" s="32">
        <v>900</v>
      </c>
      <c r="AN8" s="39" t="s">
        <v>22</v>
      </c>
      <c r="AO8" s="39"/>
      <c r="AP8" s="39"/>
      <c r="AQ8" s="50"/>
      <c r="AS8" s="1"/>
    </row>
    <row r="9" spans="1:45" s="26" customFormat="1">
      <c r="A9" s="1">
        <v>2</v>
      </c>
      <c r="B9" s="1">
        <v>2</v>
      </c>
      <c r="C9" s="40">
        <f t="shared" si="1"/>
        <v>2</v>
      </c>
      <c r="D9" s="40">
        <f t="shared" si="1"/>
        <v>2</v>
      </c>
      <c r="E9" s="1" t="s">
        <v>405</v>
      </c>
      <c r="F9" s="29" t="s">
        <v>50</v>
      </c>
      <c r="G9" s="29">
        <v>299</v>
      </c>
      <c r="H9" s="29"/>
      <c r="I9" s="52">
        <v>298</v>
      </c>
      <c r="J9" s="52">
        <v>298</v>
      </c>
      <c r="K9" s="52"/>
      <c r="L9" s="52"/>
      <c r="M9" s="32">
        <f t="shared" si="2"/>
        <v>895</v>
      </c>
      <c r="N9" s="32" t="s">
        <v>1330</v>
      </c>
      <c r="O9" s="32" t="s">
        <v>32</v>
      </c>
      <c r="P9" s="32">
        <f t="shared" si="3"/>
        <v>894.99969999999996</v>
      </c>
      <c r="Q9" s="32">
        <f t="shared" si="4"/>
        <v>3</v>
      </c>
      <c r="R9" s="32">
        <f t="shared" ca="1" si="5"/>
        <v>0</v>
      </c>
      <c r="S9" s="33" t="s">
        <v>21</v>
      </c>
      <c r="T9" s="34">
        <f t="shared" si="6"/>
        <v>0</v>
      </c>
      <c r="U9" s="34">
        <f t="shared" ca="1" si="7"/>
        <v>0</v>
      </c>
      <c r="V9" s="34">
        <f>-SUMPRODUCT((S$6:S8=S9)*(X$6:X8=X9))</f>
        <v>0</v>
      </c>
      <c r="W9" s="34">
        <f>-SUMPRODUCT((S$6:S8=S9)*(X$6:X8=X9)*(B$6:B8&lt;&gt;"NS"))</f>
        <v>0</v>
      </c>
      <c r="X9" s="35">
        <f t="shared" si="8"/>
        <v>895.33177999999998</v>
      </c>
      <c r="Y9" s="29">
        <v>299</v>
      </c>
      <c r="Z9" s="52">
        <v>298</v>
      </c>
      <c r="AA9" s="52">
        <v>298</v>
      </c>
      <c r="AB9" s="29"/>
      <c r="AC9" s="52"/>
      <c r="AD9" s="52"/>
      <c r="AF9" s="36">
        <v>0</v>
      </c>
      <c r="AG9" s="36">
        <v>0</v>
      </c>
      <c r="AH9" s="36">
        <v>0</v>
      </c>
      <c r="AI9" s="36">
        <v>0</v>
      </c>
      <c r="AJ9" s="37">
        <v>3</v>
      </c>
      <c r="AK9" s="38">
        <v>895.33147999999994</v>
      </c>
      <c r="AL9" s="39">
        <v>299</v>
      </c>
      <c r="AM9" s="32">
        <v>896</v>
      </c>
      <c r="AN9" s="39"/>
      <c r="AO9" s="39" t="s">
        <v>32</v>
      </c>
      <c r="AP9" s="39"/>
      <c r="AQ9" s="50"/>
      <c r="AS9" s="1"/>
    </row>
    <row r="10" spans="1:45" s="26" customFormat="1">
      <c r="A10" s="1">
        <v>3</v>
      </c>
      <c r="B10" s="1" t="s">
        <v>111</v>
      </c>
      <c r="C10" s="40">
        <f t="shared" si="1"/>
        <v>3</v>
      </c>
      <c r="D10" s="40" t="str">
        <f t="shared" si="1"/>
        <v>NS</v>
      </c>
      <c r="E10" s="1" t="s">
        <v>406</v>
      </c>
      <c r="F10" s="29" t="s">
        <v>201</v>
      </c>
      <c r="G10" s="29">
        <v>294</v>
      </c>
      <c r="H10" s="29">
        <v>295</v>
      </c>
      <c r="I10" s="52">
        <v>295</v>
      </c>
      <c r="J10" s="52"/>
      <c r="K10" s="52"/>
      <c r="L10" s="52"/>
      <c r="M10" s="32">
        <f t="shared" si="2"/>
        <v>884</v>
      </c>
      <c r="N10" s="32" t="s">
        <v>1331</v>
      </c>
      <c r="O10" s="32"/>
      <c r="P10" s="32">
        <f t="shared" si="3"/>
        <v>883.99959999999999</v>
      </c>
      <c r="Q10" s="32">
        <f t="shared" si="4"/>
        <v>3</v>
      </c>
      <c r="R10" s="32">
        <f t="shared" ca="1" si="5"/>
        <v>0</v>
      </c>
      <c r="S10" s="33" t="s">
        <v>21</v>
      </c>
      <c r="T10" s="34">
        <f t="shared" si="6"/>
        <v>0</v>
      </c>
      <c r="U10" s="34">
        <f t="shared" ca="1" si="7"/>
        <v>0</v>
      </c>
      <c r="V10" s="34">
        <f>-SUMPRODUCT((S$6:S9=S10)*(X$6:X9=X10))</f>
        <v>0</v>
      </c>
      <c r="W10" s="34">
        <f>-SUMPRODUCT((S$6:S9=S10)*(X$6:X9=X10)*(B$6:B9&lt;&gt;"NS"))</f>
        <v>0</v>
      </c>
      <c r="X10" s="35">
        <f t="shared" si="8"/>
        <v>884.32744000000002</v>
      </c>
      <c r="Y10" s="29">
        <v>295</v>
      </c>
      <c r="Z10" s="52">
        <v>295</v>
      </c>
      <c r="AA10" s="29">
        <v>294</v>
      </c>
      <c r="AB10" s="52"/>
      <c r="AC10" s="52"/>
      <c r="AD10" s="52"/>
      <c r="AF10" s="36">
        <v>0</v>
      </c>
      <c r="AG10" s="36">
        <v>0</v>
      </c>
      <c r="AH10" s="36">
        <v>0</v>
      </c>
      <c r="AI10" s="36">
        <v>0</v>
      </c>
      <c r="AJ10" s="37">
        <v>3</v>
      </c>
      <c r="AK10" s="38">
        <v>884.3270399999999</v>
      </c>
      <c r="AL10" s="39">
        <v>295</v>
      </c>
      <c r="AM10" s="32">
        <v>0</v>
      </c>
      <c r="AN10" s="39"/>
      <c r="AO10" s="39"/>
      <c r="AP10" s="39"/>
      <c r="AQ10" s="50"/>
      <c r="AS10" s="1"/>
    </row>
    <row r="11" spans="1:45" s="26" customFormat="1">
      <c r="A11" s="1">
        <v>4</v>
      </c>
      <c r="B11" s="1">
        <v>3</v>
      </c>
      <c r="C11" s="40">
        <f t="shared" si="1"/>
        <v>4</v>
      </c>
      <c r="D11" s="40">
        <f t="shared" si="1"/>
        <v>3</v>
      </c>
      <c r="E11" s="1" t="s">
        <v>407</v>
      </c>
      <c r="F11" s="29" t="s">
        <v>19</v>
      </c>
      <c r="G11" s="29">
        <v>296</v>
      </c>
      <c r="H11" s="29">
        <v>293</v>
      </c>
      <c r="I11" s="52">
        <v>285</v>
      </c>
      <c r="J11" s="52"/>
      <c r="K11" s="52"/>
      <c r="L11" s="52"/>
      <c r="M11" s="32">
        <f t="shared" si="2"/>
        <v>874</v>
      </c>
      <c r="N11" s="32" t="s">
        <v>1330</v>
      </c>
      <c r="O11" s="32" t="s">
        <v>35</v>
      </c>
      <c r="P11" s="32">
        <f t="shared" si="3"/>
        <v>873.99950000000001</v>
      </c>
      <c r="Q11" s="32">
        <f t="shared" si="4"/>
        <v>3</v>
      </c>
      <c r="R11" s="32">
        <f t="shared" ca="1" si="5"/>
        <v>0</v>
      </c>
      <c r="S11" s="33" t="s">
        <v>21</v>
      </c>
      <c r="T11" s="34">
        <f t="shared" si="6"/>
        <v>0</v>
      </c>
      <c r="U11" s="34">
        <f t="shared" ca="1" si="7"/>
        <v>0</v>
      </c>
      <c r="V11" s="34">
        <f>-SUMPRODUCT((S$6:S10=S11)*(X$6:X10=X11))</f>
        <v>0</v>
      </c>
      <c r="W11" s="34">
        <f>-SUMPRODUCT((S$6:S10=S11)*(X$6:X10=X11)*(B$6:B10&lt;&gt;"NS"))</f>
        <v>0</v>
      </c>
      <c r="X11" s="35">
        <f t="shared" si="8"/>
        <v>874.32815000000005</v>
      </c>
      <c r="Y11" s="29">
        <v>296</v>
      </c>
      <c r="Z11" s="29">
        <v>293</v>
      </c>
      <c r="AA11" s="52">
        <v>285</v>
      </c>
      <c r="AB11" s="52"/>
      <c r="AC11" s="52"/>
      <c r="AD11" s="52"/>
      <c r="AF11" s="36">
        <v>0</v>
      </c>
      <c r="AG11" s="36">
        <v>0</v>
      </c>
      <c r="AH11" s="36">
        <v>0</v>
      </c>
      <c r="AI11" s="36">
        <v>0</v>
      </c>
      <c r="AJ11" s="37">
        <v>3</v>
      </c>
      <c r="AK11" s="38">
        <v>874.32765000000006</v>
      </c>
      <c r="AL11" s="39">
        <v>296</v>
      </c>
      <c r="AM11" s="32">
        <v>885</v>
      </c>
      <c r="AN11" s="39"/>
      <c r="AO11" s="39"/>
      <c r="AP11" s="39" t="s">
        <v>35</v>
      </c>
      <c r="AQ11" s="50"/>
      <c r="AS11" s="1"/>
    </row>
    <row r="12" spans="1:45" s="26" customFormat="1">
      <c r="A12" s="1">
        <v>5</v>
      </c>
      <c r="B12" s="1">
        <v>4</v>
      </c>
      <c r="C12" s="40">
        <f t="shared" si="1"/>
        <v>5</v>
      </c>
      <c r="D12" s="40">
        <f t="shared" si="1"/>
        <v>4</v>
      </c>
      <c r="E12" s="1" t="s">
        <v>73</v>
      </c>
      <c r="F12" s="29" t="s">
        <v>61</v>
      </c>
      <c r="G12" s="29">
        <v>257</v>
      </c>
      <c r="H12" s="29">
        <v>269</v>
      </c>
      <c r="I12" s="52">
        <v>287</v>
      </c>
      <c r="J12" s="52">
        <v>282</v>
      </c>
      <c r="K12" s="52">
        <v>281</v>
      </c>
      <c r="L12" s="52"/>
      <c r="M12" s="32">
        <f t="shared" si="2"/>
        <v>850</v>
      </c>
      <c r="N12" s="32" t="s">
        <v>1330</v>
      </c>
      <c r="O12" s="32"/>
      <c r="P12" s="32">
        <f t="shared" si="3"/>
        <v>849.99940000000004</v>
      </c>
      <c r="Q12" s="32">
        <f t="shared" si="4"/>
        <v>5</v>
      </c>
      <c r="R12" s="32">
        <f t="shared" ca="1" si="5"/>
        <v>0</v>
      </c>
      <c r="S12" s="33" t="s">
        <v>21</v>
      </c>
      <c r="T12" s="34">
        <f t="shared" si="6"/>
        <v>0</v>
      </c>
      <c r="U12" s="34">
        <f t="shared" ca="1" si="7"/>
        <v>281</v>
      </c>
      <c r="V12" s="34">
        <f>-SUMPRODUCT((S$6:S11=S12)*(X$6:X11=X12))</f>
        <v>0</v>
      </c>
      <c r="W12" s="34">
        <f>-SUMPRODUCT((S$6:S11=S12)*(X$6:X11=X12)*(B$6:B11&lt;&gt;"NS"))</f>
        <v>0</v>
      </c>
      <c r="X12" s="35">
        <f t="shared" si="8"/>
        <v>850.31800999999996</v>
      </c>
      <c r="Y12" s="52">
        <v>287</v>
      </c>
      <c r="Z12" s="52">
        <v>282</v>
      </c>
      <c r="AA12" s="52">
        <v>281</v>
      </c>
      <c r="AB12" s="29">
        <v>269</v>
      </c>
      <c r="AC12" s="29">
        <v>257</v>
      </c>
      <c r="AD12" s="52"/>
      <c r="AF12" s="36">
        <v>0</v>
      </c>
      <c r="AG12" s="36">
        <v>0</v>
      </c>
      <c r="AH12" s="36">
        <v>0</v>
      </c>
      <c r="AI12" s="36">
        <v>0</v>
      </c>
      <c r="AJ12" s="37">
        <v>4</v>
      </c>
      <c r="AK12" s="38">
        <v>838.3175470000001</v>
      </c>
      <c r="AL12" s="39">
        <v>287</v>
      </c>
      <c r="AM12" s="32">
        <v>856</v>
      </c>
      <c r="AN12" s="39"/>
      <c r="AO12" s="39"/>
      <c r="AP12" s="39"/>
      <c r="AQ12" s="50"/>
      <c r="AS12" s="1"/>
    </row>
    <row r="13" spans="1:45" s="26" customFormat="1">
      <c r="A13" s="1">
        <v>6</v>
      </c>
      <c r="B13" s="1">
        <v>5</v>
      </c>
      <c r="C13" s="40">
        <f t="shared" si="1"/>
        <v>6</v>
      </c>
      <c r="D13" s="40">
        <f t="shared" si="1"/>
        <v>5</v>
      </c>
      <c r="E13" s="1" t="s">
        <v>72</v>
      </c>
      <c r="F13" s="29" t="s">
        <v>38</v>
      </c>
      <c r="G13" s="29">
        <v>251</v>
      </c>
      <c r="H13" s="29">
        <v>247</v>
      </c>
      <c r="I13" s="52">
        <v>276</v>
      </c>
      <c r="J13" s="52">
        <v>269</v>
      </c>
      <c r="K13" s="52">
        <v>282</v>
      </c>
      <c r="L13" s="52"/>
      <c r="M13" s="32">
        <f t="shared" si="2"/>
        <v>827</v>
      </c>
      <c r="N13" s="32" t="s">
        <v>1330</v>
      </c>
      <c r="O13" s="32"/>
      <c r="P13" s="32">
        <f t="shared" si="3"/>
        <v>826.99929999999995</v>
      </c>
      <c r="Q13" s="32">
        <f t="shared" si="4"/>
        <v>5</v>
      </c>
      <c r="R13" s="32">
        <f t="shared" ca="1" si="5"/>
        <v>0</v>
      </c>
      <c r="S13" s="33" t="s">
        <v>21</v>
      </c>
      <c r="T13" s="34">
        <f t="shared" si="6"/>
        <v>0</v>
      </c>
      <c r="U13" s="34">
        <f t="shared" ca="1" si="7"/>
        <v>282</v>
      </c>
      <c r="V13" s="34">
        <f>-SUMPRODUCT((S$6:S12=S13)*(X$6:X12=X13))</f>
        <v>0</v>
      </c>
      <c r="W13" s="34">
        <f>-SUMPRODUCT((S$6:S12=S13)*(X$6:X12=X13)*(B$6:B12&lt;&gt;"NS"))</f>
        <v>0</v>
      </c>
      <c r="X13" s="35">
        <f t="shared" si="8"/>
        <v>827.31228999999996</v>
      </c>
      <c r="Y13" s="52">
        <v>282</v>
      </c>
      <c r="Z13" s="52">
        <v>276</v>
      </c>
      <c r="AA13" s="52">
        <v>269</v>
      </c>
      <c r="AB13" s="29">
        <v>251</v>
      </c>
      <c r="AC13" s="29">
        <v>247</v>
      </c>
      <c r="AD13" s="52"/>
      <c r="AF13" s="36">
        <v>0</v>
      </c>
      <c r="AG13" s="36">
        <v>0</v>
      </c>
      <c r="AH13" s="36">
        <v>0</v>
      </c>
      <c r="AI13" s="36">
        <v>0</v>
      </c>
      <c r="AJ13" s="37">
        <v>4</v>
      </c>
      <c r="AK13" s="38">
        <v>796.30485699999986</v>
      </c>
      <c r="AL13" s="39">
        <v>276</v>
      </c>
      <c r="AM13" s="32">
        <v>821</v>
      </c>
      <c r="AN13" s="39"/>
      <c r="AO13" s="39"/>
      <c r="AP13" s="39"/>
      <c r="AQ13" s="50"/>
      <c r="AS13" s="1"/>
    </row>
    <row r="14" spans="1:45" s="26" customFormat="1">
      <c r="A14" s="1">
        <v>7</v>
      </c>
      <c r="B14" s="1">
        <v>6</v>
      </c>
      <c r="C14" s="40">
        <f t="shared" si="1"/>
        <v>7</v>
      </c>
      <c r="D14" s="40">
        <f t="shared" si="1"/>
        <v>6</v>
      </c>
      <c r="E14" s="1" t="s">
        <v>408</v>
      </c>
      <c r="F14" s="29" t="s">
        <v>61</v>
      </c>
      <c r="G14" s="29">
        <v>288</v>
      </c>
      <c r="H14" s="29">
        <v>285</v>
      </c>
      <c r="I14" s="52">
        <v>236</v>
      </c>
      <c r="J14" s="52"/>
      <c r="K14" s="52"/>
      <c r="L14" s="52"/>
      <c r="M14" s="32">
        <f t="shared" si="2"/>
        <v>809</v>
      </c>
      <c r="N14" s="32" t="s">
        <v>1330</v>
      </c>
      <c r="O14" s="32"/>
      <c r="P14" s="32">
        <f t="shared" si="3"/>
        <v>808.99919999999997</v>
      </c>
      <c r="Q14" s="32">
        <f t="shared" si="4"/>
        <v>3</v>
      </c>
      <c r="R14" s="32">
        <f t="shared" ca="1" si="5"/>
        <v>0</v>
      </c>
      <c r="S14" s="33" t="s">
        <v>21</v>
      </c>
      <c r="T14" s="34">
        <f t="shared" si="6"/>
        <v>0</v>
      </c>
      <c r="U14" s="34">
        <f t="shared" ca="1" si="7"/>
        <v>0</v>
      </c>
      <c r="V14" s="34">
        <f>-SUMPRODUCT((S$6:S13=S14)*(X$6:X13=X14))</f>
        <v>0</v>
      </c>
      <c r="W14" s="34">
        <f>-SUMPRODUCT((S$6:S13=S14)*(X$6:X13=X14)*(B$6:B13&lt;&gt;"NS"))</f>
        <v>0</v>
      </c>
      <c r="X14" s="35">
        <f t="shared" si="8"/>
        <v>809.31885999999997</v>
      </c>
      <c r="Y14" s="29">
        <v>288</v>
      </c>
      <c r="Z14" s="29">
        <v>285</v>
      </c>
      <c r="AA14" s="52">
        <v>236</v>
      </c>
      <c r="AB14" s="52"/>
      <c r="AC14" s="52"/>
      <c r="AD14" s="52"/>
      <c r="AF14" s="36">
        <v>0</v>
      </c>
      <c r="AG14" s="36">
        <v>0</v>
      </c>
      <c r="AH14" s="36">
        <v>0</v>
      </c>
      <c r="AI14" s="36">
        <v>0</v>
      </c>
      <c r="AJ14" s="37">
        <v>3</v>
      </c>
      <c r="AK14" s="38">
        <v>809.31815999999992</v>
      </c>
      <c r="AL14" s="39">
        <v>288</v>
      </c>
      <c r="AM14" s="32">
        <v>861</v>
      </c>
      <c r="AN14" s="39"/>
      <c r="AO14" s="39"/>
      <c r="AP14" s="39"/>
      <c r="AQ14" s="50"/>
      <c r="AS14" s="1"/>
    </row>
    <row r="15" spans="1:45" s="26" customFormat="1">
      <c r="A15" s="1">
        <v>8</v>
      </c>
      <c r="B15" s="1">
        <v>7</v>
      </c>
      <c r="C15" s="40">
        <f t="shared" si="1"/>
        <v>8</v>
      </c>
      <c r="D15" s="40">
        <f t="shared" si="1"/>
        <v>7</v>
      </c>
      <c r="E15" s="1" t="s">
        <v>95</v>
      </c>
      <c r="F15" s="29" t="s">
        <v>53</v>
      </c>
      <c r="G15" s="29">
        <v>255</v>
      </c>
      <c r="H15" s="29">
        <v>260</v>
      </c>
      <c r="I15" s="52"/>
      <c r="J15" s="52"/>
      <c r="K15" s="52">
        <v>272</v>
      </c>
      <c r="L15" s="52"/>
      <c r="M15" s="32">
        <f t="shared" si="2"/>
        <v>787</v>
      </c>
      <c r="N15" s="32" t="s">
        <v>1330</v>
      </c>
      <c r="O15" s="32"/>
      <c r="P15" s="32">
        <f t="shared" si="3"/>
        <v>786.9991</v>
      </c>
      <c r="Q15" s="32">
        <f t="shared" si="4"/>
        <v>3</v>
      </c>
      <c r="R15" s="32">
        <f t="shared" ca="1" si="5"/>
        <v>0</v>
      </c>
      <c r="S15" s="33" t="s">
        <v>21</v>
      </c>
      <c r="T15" s="34">
        <f t="shared" si="6"/>
        <v>0</v>
      </c>
      <c r="U15" s="34">
        <f t="shared" ca="1" si="7"/>
        <v>272</v>
      </c>
      <c r="V15" s="34">
        <f>-SUMPRODUCT((S$6:S14=S15)*(X$6:X14=X15))</f>
        <v>0</v>
      </c>
      <c r="W15" s="34">
        <f>-SUMPRODUCT((S$6:S14=S15)*(X$6:X14=X15)*(B$6:B14&lt;&gt;"NS"))</f>
        <v>0</v>
      </c>
      <c r="X15" s="35">
        <f t="shared" si="8"/>
        <v>787.30055000000004</v>
      </c>
      <c r="Y15" s="52">
        <v>272</v>
      </c>
      <c r="Z15" s="29">
        <v>260</v>
      </c>
      <c r="AA15" s="29">
        <v>255</v>
      </c>
      <c r="AB15" s="52"/>
      <c r="AC15" s="52"/>
      <c r="AD15" s="52"/>
      <c r="AF15" s="36">
        <v>0</v>
      </c>
      <c r="AG15" s="36">
        <v>0</v>
      </c>
      <c r="AH15" s="36">
        <v>0</v>
      </c>
      <c r="AI15" s="36">
        <v>0</v>
      </c>
      <c r="AJ15" s="37">
        <v>2</v>
      </c>
      <c r="AK15" s="38">
        <v>515.28309999999999</v>
      </c>
      <c r="AL15" s="39">
        <v>260</v>
      </c>
      <c r="AM15" s="32">
        <v>775</v>
      </c>
      <c r="AN15" s="39"/>
      <c r="AO15" s="39"/>
      <c r="AP15" s="39"/>
      <c r="AQ15" s="50"/>
      <c r="AS15" s="1"/>
    </row>
    <row r="16" spans="1:45" s="26" customFormat="1">
      <c r="A16" s="1">
        <v>9</v>
      </c>
      <c r="B16" s="1">
        <v>8</v>
      </c>
      <c r="C16" s="40">
        <f t="shared" si="1"/>
        <v>9</v>
      </c>
      <c r="D16" s="40">
        <f t="shared" si="1"/>
        <v>8</v>
      </c>
      <c r="E16" s="1" t="s">
        <v>409</v>
      </c>
      <c r="F16" s="29" t="s">
        <v>69</v>
      </c>
      <c r="G16" s="29">
        <v>264</v>
      </c>
      <c r="H16" s="29">
        <v>252</v>
      </c>
      <c r="I16" s="52">
        <v>271</v>
      </c>
      <c r="J16" s="52"/>
      <c r="K16" s="52"/>
      <c r="L16" s="52"/>
      <c r="M16" s="32">
        <f t="shared" si="2"/>
        <v>787</v>
      </c>
      <c r="N16" s="32" t="s">
        <v>1330</v>
      </c>
      <c r="O16" s="32"/>
      <c r="P16" s="32">
        <f t="shared" si="3"/>
        <v>786.99900000000002</v>
      </c>
      <c r="Q16" s="32">
        <f t="shared" si="4"/>
        <v>3</v>
      </c>
      <c r="R16" s="32">
        <f t="shared" ca="1" si="5"/>
        <v>0</v>
      </c>
      <c r="S16" s="33" t="s">
        <v>21</v>
      </c>
      <c r="T16" s="34">
        <f t="shared" si="6"/>
        <v>0</v>
      </c>
      <c r="U16" s="34">
        <f t="shared" ca="1" si="7"/>
        <v>0</v>
      </c>
      <c r="V16" s="34">
        <f>-SUMPRODUCT((S$6:S15=S16)*(X$6:X15=X16))</f>
        <v>0</v>
      </c>
      <c r="W16" s="34">
        <f>-SUMPRODUCT((S$6:S15=S16)*(X$6:X15=X16)*(B$6:B15&lt;&gt;"NS"))</f>
        <v>0</v>
      </c>
      <c r="X16" s="35">
        <f t="shared" si="8"/>
        <v>787.29992000000004</v>
      </c>
      <c r="Y16" s="52">
        <v>271</v>
      </c>
      <c r="Z16" s="29">
        <v>264</v>
      </c>
      <c r="AA16" s="29">
        <v>252</v>
      </c>
      <c r="AB16" s="52"/>
      <c r="AC16" s="52"/>
      <c r="AD16" s="52"/>
      <c r="AF16" s="36">
        <v>0</v>
      </c>
      <c r="AG16" s="36">
        <v>0</v>
      </c>
      <c r="AH16" s="36">
        <v>0</v>
      </c>
      <c r="AI16" s="36">
        <v>0</v>
      </c>
      <c r="AJ16" s="37">
        <v>3</v>
      </c>
      <c r="AK16" s="38">
        <v>787.29901999999993</v>
      </c>
      <c r="AL16" s="39">
        <v>271</v>
      </c>
      <c r="AM16" s="32">
        <v>806</v>
      </c>
      <c r="AN16" s="39"/>
      <c r="AO16" s="39"/>
      <c r="AP16" s="39"/>
      <c r="AQ16" s="50"/>
      <c r="AS16" s="1"/>
    </row>
    <row r="17" spans="1:45" s="26" customFormat="1">
      <c r="A17" s="1">
        <v>10</v>
      </c>
      <c r="B17" s="1">
        <v>9</v>
      </c>
      <c r="C17" s="40">
        <f t="shared" si="1"/>
        <v>10</v>
      </c>
      <c r="D17" s="40">
        <f t="shared" si="1"/>
        <v>9</v>
      </c>
      <c r="E17" s="1" t="s">
        <v>410</v>
      </c>
      <c r="F17" s="29" t="s">
        <v>50</v>
      </c>
      <c r="G17" s="29">
        <v>256</v>
      </c>
      <c r="H17" s="29"/>
      <c r="I17" s="52">
        <v>254</v>
      </c>
      <c r="J17" s="52">
        <v>267</v>
      </c>
      <c r="K17" s="52"/>
      <c r="L17" s="52"/>
      <c r="M17" s="32">
        <f t="shared" si="2"/>
        <v>777</v>
      </c>
      <c r="N17" s="32" t="s">
        <v>1330</v>
      </c>
      <c r="O17" s="32"/>
      <c r="P17" s="32">
        <f t="shared" si="3"/>
        <v>776.99890000000005</v>
      </c>
      <c r="Q17" s="32">
        <f t="shared" si="4"/>
        <v>3</v>
      </c>
      <c r="R17" s="32">
        <f t="shared" ca="1" si="5"/>
        <v>0</v>
      </c>
      <c r="S17" s="33" t="s">
        <v>21</v>
      </c>
      <c r="T17" s="34">
        <f t="shared" si="6"/>
        <v>0</v>
      </c>
      <c r="U17" s="34">
        <f t="shared" ca="1" si="7"/>
        <v>0</v>
      </c>
      <c r="V17" s="34">
        <f>-SUMPRODUCT((S$6:S16=S17)*(X$6:X16=X17))</f>
        <v>0</v>
      </c>
      <c r="W17" s="34">
        <f>-SUMPRODUCT((S$6:S16=S17)*(X$6:X16=X17)*(B$6:B16&lt;&gt;"NS"))</f>
        <v>0</v>
      </c>
      <c r="X17" s="35">
        <f t="shared" si="8"/>
        <v>777.29513999999995</v>
      </c>
      <c r="Y17" s="52">
        <v>267</v>
      </c>
      <c r="Z17" s="29">
        <v>256</v>
      </c>
      <c r="AA17" s="52">
        <v>254</v>
      </c>
      <c r="AB17" s="29"/>
      <c r="AC17" s="52"/>
      <c r="AD17" s="52"/>
      <c r="AF17" s="36">
        <v>0</v>
      </c>
      <c r="AG17" s="36">
        <v>0</v>
      </c>
      <c r="AH17" s="36">
        <v>0</v>
      </c>
      <c r="AI17" s="36">
        <v>0</v>
      </c>
      <c r="AJ17" s="37">
        <v>3</v>
      </c>
      <c r="AK17" s="38">
        <v>777.29414000000008</v>
      </c>
      <c r="AL17" s="39">
        <v>267</v>
      </c>
      <c r="AM17" s="32">
        <v>790</v>
      </c>
      <c r="AN17" s="39"/>
      <c r="AO17" s="39"/>
      <c r="AP17" s="39"/>
      <c r="AQ17" s="50"/>
      <c r="AS17" s="1"/>
    </row>
    <row r="18" spans="1:45" s="26" customFormat="1">
      <c r="A18" s="1">
        <v>11</v>
      </c>
      <c r="B18" s="1">
        <v>10</v>
      </c>
      <c r="C18" s="40">
        <f t="shared" si="1"/>
        <v>11</v>
      </c>
      <c r="D18" s="40">
        <f t="shared" si="1"/>
        <v>10</v>
      </c>
      <c r="E18" s="1" t="s">
        <v>112</v>
      </c>
      <c r="F18" s="29" t="s">
        <v>88</v>
      </c>
      <c r="G18" s="29">
        <v>239</v>
      </c>
      <c r="H18" s="29">
        <v>250</v>
      </c>
      <c r="I18" s="52">
        <v>263</v>
      </c>
      <c r="J18" s="52"/>
      <c r="K18" s="52">
        <v>264</v>
      </c>
      <c r="L18" s="52"/>
      <c r="M18" s="32">
        <f t="shared" si="2"/>
        <v>777</v>
      </c>
      <c r="N18" s="32" t="s">
        <v>1330</v>
      </c>
      <c r="O18" s="32"/>
      <c r="P18" s="32">
        <f t="shared" si="3"/>
        <v>776.99879999999996</v>
      </c>
      <c r="Q18" s="32">
        <f t="shared" si="4"/>
        <v>4</v>
      </c>
      <c r="R18" s="32">
        <f t="shared" ca="1" si="5"/>
        <v>0</v>
      </c>
      <c r="S18" s="33" t="s">
        <v>21</v>
      </c>
      <c r="T18" s="34">
        <f t="shared" si="6"/>
        <v>0</v>
      </c>
      <c r="U18" s="34">
        <f t="shared" ca="1" si="7"/>
        <v>264</v>
      </c>
      <c r="V18" s="34">
        <f>-SUMPRODUCT((S$6:S17=S18)*(X$6:X17=X18))</f>
        <v>0</v>
      </c>
      <c r="W18" s="34">
        <f>-SUMPRODUCT((S$6:S17=S18)*(X$6:X17=X18)*(B$6:B17&lt;&gt;"NS"))</f>
        <v>0</v>
      </c>
      <c r="X18" s="35">
        <f t="shared" si="8"/>
        <v>777.29280000000006</v>
      </c>
      <c r="Y18" s="52">
        <v>264</v>
      </c>
      <c r="Z18" s="52">
        <v>263</v>
      </c>
      <c r="AA18" s="29">
        <v>250</v>
      </c>
      <c r="AB18" s="29">
        <v>239</v>
      </c>
      <c r="AC18" s="52"/>
      <c r="AD18" s="52"/>
      <c r="AF18" s="36">
        <v>0</v>
      </c>
      <c r="AG18" s="36">
        <v>0</v>
      </c>
      <c r="AH18" s="36">
        <v>0</v>
      </c>
      <c r="AI18" s="36">
        <v>0</v>
      </c>
      <c r="AJ18" s="37">
        <v>3</v>
      </c>
      <c r="AK18" s="38">
        <v>752.28918999999996</v>
      </c>
      <c r="AL18" s="39">
        <v>263</v>
      </c>
      <c r="AM18" s="32">
        <v>776</v>
      </c>
      <c r="AN18" s="39"/>
      <c r="AO18" s="39"/>
      <c r="AP18" s="39"/>
      <c r="AQ18" s="50"/>
      <c r="AS18" s="1"/>
    </row>
    <row r="19" spans="1:45" s="26" customFormat="1">
      <c r="A19" s="1">
        <v>12</v>
      </c>
      <c r="B19" s="1">
        <v>11</v>
      </c>
      <c r="C19" s="40">
        <f t="shared" si="1"/>
        <v>12</v>
      </c>
      <c r="D19" s="40">
        <f t="shared" si="1"/>
        <v>11</v>
      </c>
      <c r="E19" s="1" t="s">
        <v>411</v>
      </c>
      <c r="F19" s="29" t="s">
        <v>412</v>
      </c>
      <c r="G19" s="29">
        <v>262</v>
      </c>
      <c r="H19" s="29">
        <v>251</v>
      </c>
      <c r="I19" s="52"/>
      <c r="J19" s="52">
        <v>258</v>
      </c>
      <c r="K19" s="52"/>
      <c r="L19" s="52"/>
      <c r="M19" s="32">
        <f t="shared" si="2"/>
        <v>771</v>
      </c>
      <c r="N19" s="32" t="s">
        <v>1330</v>
      </c>
      <c r="O19" s="32"/>
      <c r="P19" s="32">
        <f t="shared" si="3"/>
        <v>770.99869999999999</v>
      </c>
      <c r="Q19" s="32">
        <f t="shared" si="4"/>
        <v>3</v>
      </c>
      <c r="R19" s="32">
        <f t="shared" ca="1" si="5"/>
        <v>0</v>
      </c>
      <c r="S19" s="33" t="s">
        <v>21</v>
      </c>
      <c r="T19" s="34">
        <f t="shared" si="6"/>
        <v>0</v>
      </c>
      <c r="U19" s="34">
        <f t="shared" ca="1" si="7"/>
        <v>0</v>
      </c>
      <c r="V19" s="34">
        <f>-SUMPRODUCT((S$6:S18=S19)*(X$6:X18=X19))</f>
        <v>0</v>
      </c>
      <c r="W19" s="34">
        <f>-SUMPRODUCT((S$6:S18=S19)*(X$6:X18=X19)*(B$6:B18&lt;&gt;"NS"))</f>
        <v>0</v>
      </c>
      <c r="X19" s="35">
        <f t="shared" si="8"/>
        <v>771.29030999999998</v>
      </c>
      <c r="Y19" s="29">
        <v>262</v>
      </c>
      <c r="Z19" s="52">
        <v>258</v>
      </c>
      <c r="AA19" s="29">
        <v>251</v>
      </c>
      <c r="AB19" s="52"/>
      <c r="AC19" s="52"/>
      <c r="AD19" s="52"/>
      <c r="AF19" s="36">
        <v>0</v>
      </c>
      <c r="AG19" s="36">
        <v>0</v>
      </c>
      <c r="AH19" s="36">
        <v>0</v>
      </c>
      <c r="AI19" s="36">
        <v>0</v>
      </c>
      <c r="AJ19" s="37">
        <v>3</v>
      </c>
      <c r="AK19" s="38">
        <v>771.28921000000003</v>
      </c>
      <c r="AL19" s="39">
        <v>262</v>
      </c>
      <c r="AM19" s="32">
        <v>782</v>
      </c>
      <c r="AN19" s="39"/>
      <c r="AO19" s="39"/>
      <c r="AP19" s="39"/>
      <c r="AQ19" s="50"/>
      <c r="AS19" s="1"/>
    </row>
    <row r="20" spans="1:45" s="26" customFormat="1">
      <c r="A20" s="1">
        <v>13</v>
      </c>
      <c r="B20" s="1">
        <v>12</v>
      </c>
      <c r="C20" s="40">
        <f t="shared" si="1"/>
        <v>13</v>
      </c>
      <c r="D20" s="40">
        <f t="shared" si="1"/>
        <v>12</v>
      </c>
      <c r="E20" s="1" t="s">
        <v>413</v>
      </c>
      <c r="F20" s="29" t="s">
        <v>66</v>
      </c>
      <c r="G20" s="29">
        <v>240</v>
      </c>
      <c r="H20" s="29"/>
      <c r="I20" s="52">
        <v>214</v>
      </c>
      <c r="J20" s="52">
        <v>248</v>
      </c>
      <c r="K20" s="52"/>
      <c r="L20" s="52"/>
      <c r="M20" s="32">
        <f t="shared" si="2"/>
        <v>702</v>
      </c>
      <c r="N20" s="32" t="s">
        <v>1330</v>
      </c>
      <c r="O20" s="32"/>
      <c r="P20" s="32">
        <f t="shared" si="3"/>
        <v>701.99860000000001</v>
      </c>
      <c r="Q20" s="32">
        <f t="shared" si="4"/>
        <v>3</v>
      </c>
      <c r="R20" s="32">
        <f t="shared" ca="1" si="5"/>
        <v>0</v>
      </c>
      <c r="S20" s="33" t="s">
        <v>21</v>
      </c>
      <c r="T20" s="34">
        <f t="shared" si="6"/>
        <v>0</v>
      </c>
      <c r="U20" s="34">
        <f t="shared" ca="1" si="7"/>
        <v>0</v>
      </c>
      <c r="V20" s="34">
        <f>-SUMPRODUCT((S$6:S19=S20)*(X$6:X19=X20))</f>
        <v>0</v>
      </c>
      <c r="W20" s="34">
        <f>-SUMPRODUCT((S$6:S19=S20)*(X$6:X19=X20)*(B$6:B19&lt;&gt;"NS"))</f>
        <v>0</v>
      </c>
      <c r="X20" s="35">
        <f t="shared" si="8"/>
        <v>702.27413999999999</v>
      </c>
      <c r="Y20" s="52">
        <v>248</v>
      </c>
      <c r="Z20" s="29">
        <v>240</v>
      </c>
      <c r="AA20" s="52">
        <v>214</v>
      </c>
      <c r="AB20" s="29"/>
      <c r="AC20" s="52"/>
      <c r="AD20" s="52"/>
      <c r="AF20" s="36">
        <v>0</v>
      </c>
      <c r="AG20" s="36">
        <v>0</v>
      </c>
      <c r="AH20" s="36">
        <v>0</v>
      </c>
      <c r="AI20" s="36">
        <v>0</v>
      </c>
      <c r="AJ20" s="37">
        <v>3</v>
      </c>
      <c r="AK20" s="38">
        <v>702.27284000000009</v>
      </c>
      <c r="AL20" s="39">
        <v>248</v>
      </c>
      <c r="AM20" s="32">
        <v>736</v>
      </c>
      <c r="AN20" s="39"/>
      <c r="AO20" s="39"/>
      <c r="AP20" s="39"/>
      <c r="AQ20" s="50"/>
      <c r="AS20" s="1"/>
    </row>
    <row r="21" spans="1:45" s="26" customFormat="1">
      <c r="A21" s="1">
        <v>14</v>
      </c>
      <c r="B21" s="1">
        <v>13</v>
      </c>
      <c r="C21" s="40">
        <f t="shared" si="1"/>
        <v>14</v>
      </c>
      <c r="D21" s="40">
        <f t="shared" si="1"/>
        <v>13</v>
      </c>
      <c r="E21" s="1" t="s">
        <v>414</v>
      </c>
      <c r="F21" s="29" t="s">
        <v>57</v>
      </c>
      <c r="G21" s="29">
        <v>226</v>
      </c>
      <c r="H21" s="29">
        <v>226</v>
      </c>
      <c r="I21" s="52">
        <v>239</v>
      </c>
      <c r="J21" s="52"/>
      <c r="K21" s="52"/>
      <c r="L21" s="52"/>
      <c r="M21" s="32">
        <f t="shared" si="2"/>
        <v>691</v>
      </c>
      <c r="N21" s="32" t="s">
        <v>1330</v>
      </c>
      <c r="O21" s="32"/>
      <c r="P21" s="32">
        <f t="shared" si="3"/>
        <v>690.99850000000004</v>
      </c>
      <c r="Q21" s="32">
        <f t="shared" si="4"/>
        <v>3</v>
      </c>
      <c r="R21" s="32">
        <f t="shared" ca="1" si="5"/>
        <v>0</v>
      </c>
      <c r="S21" s="33" t="s">
        <v>21</v>
      </c>
      <c r="T21" s="34">
        <f t="shared" si="6"/>
        <v>0</v>
      </c>
      <c r="U21" s="34">
        <f t="shared" ca="1" si="7"/>
        <v>0</v>
      </c>
      <c r="V21" s="34">
        <f>-SUMPRODUCT((S$6:S20=S21)*(X$6:X20=X21))</f>
        <v>0</v>
      </c>
      <c r="W21" s="34">
        <f>-SUMPRODUCT((S$6:S20=S21)*(X$6:X20=X21)*(B$6:B20&lt;&gt;"NS"))</f>
        <v>0</v>
      </c>
      <c r="X21" s="35">
        <f t="shared" si="8"/>
        <v>691.26386000000002</v>
      </c>
      <c r="Y21" s="52">
        <v>239</v>
      </c>
      <c r="Z21" s="29">
        <v>226</v>
      </c>
      <c r="AA21" s="29">
        <v>226</v>
      </c>
      <c r="AB21" s="52"/>
      <c r="AC21" s="52"/>
      <c r="AD21" s="52"/>
      <c r="AF21" s="36">
        <v>0</v>
      </c>
      <c r="AG21" s="36">
        <v>0</v>
      </c>
      <c r="AH21" s="36">
        <v>0</v>
      </c>
      <c r="AI21" s="36">
        <v>0</v>
      </c>
      <c r="AJ21" s="37">
        <v>3</v>
      </c>
      <c r="AK21" s="38">
        <v>691.26246000000003</v>
      </c>
      <c r="AL21" s="39">
        <v>239</v>
      </c>
      <c r="AM21" s="32">
        <v>704</v>
      </c>
      <c r="AN21" s="39"/>
      <c r="AO21" s="39"/>
      <c r="AP21" s="39"/>
      <c r="AQ21" s="50"/>
      <c r="AS21" s="1"/>
    </row>
    <row r="22" spans="1:45" s="26" customFormat="1">
      <c r="A22" s="1">
        <v>15</v>
      </c>
      <c r="B22" s="1">
        <v>14</v>
      </c>
      <c r="C22" s="40">
        <f t="shared" si="1"/>
        <v>15</v>
      </c>
      <c r="D22" s="40">
        <f t="shared" si="1"/>
        <v>14</v>
      </c>
      <c r="E22" s="1" t="s">
        <v>147</v>
      </c>
      <c r="F22" s="29" t="s">
        <v>76</v>
      </c>
      <c r="G22" s="29">
        <v>134</v>
      </c>
      <c r="H22" s="29">
        <v>151</v>
      </c>
      <c r="I22" s="52">
        <v>205</v>
      </c>
      <c r="J22" s="52">
        <v>221</v>
      </c>
      <c r="K22" s="52">
        <v>247</v>
      </c>
      <c r="L22" s="52"/>
      <c r="M22" s="32">
        <f t="shared" si="2"/>
        <v>673</v>
      </c>
      <c r="N22" s="32" t="s">
        <v>1330</v>
      </c>
      <c r="O22" s="32"/>
      <c r="P22" s="32">
        <f t="shared" si="3"/>
        <v>672.99839999999995</v>
      </c>
      <c r="Q22" s="32">
        <f t="shared" si="4"/>
        <v>5</v>
      </c>
      <c r="R22" s="32">
        <f t="shared" ca="1" si="5"/>
        <v>0</v>
      </c>
      <c r="S22" s="33" t="s">
        <v>21</v>
      </c>
      <c r="T22" s="34">
        <f t="shared" si="6"/>
        <v>0</v>
      </c>
      <c r="U22" s="34">
        <f t="shared" ca="1" si="7"/>
        <v>247</v>
      </c>
      <c r="V22" s="34">
        <f>-SUMPRODUCT((S$6:S21=S22)*(X$6:X21=X22))</f>
        <v>0</v>
      </c>
      <c r="W22" s="34">
        <f>-SUMPRODUCT((S$6:S21=S22)*(X$6:X21=X22)*(B$6:B21&lt;&gt;"NS"))</f>
        <v>0</v>
      </c>
      <c r="X22" s="35">
        <f t="shared" si="8"/>
        <v>673.27115000000003</v>
      </c>
      <c r="Y22" s="52">
        <v>247</v>
      </c>
      <c r="Z22" s="52">
        <v>221</v>
      </c>
      <c r="AA22" s="52">
        <v>205</v>
      </c>
      <c r="AB22" s="29">
        <v>151</v>
      </c>
      <c r="AC22" s="29">
        <v>134</v>
      </c>
      <c r="AD22" s="52"/>
      <c r="AF22" s="36">
        <v>0</v>
      </c>
      <c r="AG22" s="36">
        <v>0</v>
      </c>
      <c r="AH22" s="36">
        <v>0</v>
      </c>
      <c r="AI22" s="36">
        <v>0</v>
      </c>
      <c r="AJ22" s="37">
        <v>4</v>
      </c>
      <c r="AK22" s="38">
        <v>577.24124400000005</v>
      </c>
      <c r="AL22" s="39">
        <v>221</v>
      </c>
      <c r="AM22" s="32">
        <v>647</v>
      </c>
      <c r="AN22" s="39"/>
      <c r="AO22" s="39"/>
      <c r="AP22" s="39"/>
      <c r="AQ22" s="50"/>
      <c r="AS22" s="1"/>
    </row>
    <row r="23" spans="1:45" s="26" customFormat="1">
      <c r="A23" s="1">
        <v>16</v>
      </c>
      <c r="B23" s="1">
        <v>15</v>
      </c>
      <c r="C23" s="40">
        <f t="shared" si="1"/>
        <v>16</v>
      </c>
      <c r="D23" s="40">
        <f t="shared" si="1"/>
        <v>15</v>
      </c>
      <c r="E23" s="1" t="s">
        <v>415</v>
      </c>
      <c r="F23" s="29" t="s">
        <v>57</v>
      </c>
      <c r="G23" s="29">
        <v>188</v>
      </c>
      <c r="H23" s="29">
        <v>227</v>
      </c>
      <c r="I23" s="52">
        <v>245</v>
      </c>
      <c r="J23" s="52"/>
      <c r="K23" s="52"/>
      <c r="L23" s="52"/>
      <c r="M23" s="32">
        <f t="shared" si="2"/>
        <v>660</v>
      </c>
      <c r="N23" s="32" t="s">
        <v>1330</v>
      </c>
      <c r="O23" s="32"/>
      <c r="P23" s="32">
        <f t="shared" si="3"/>
        <v>659.99829999999997</v>
      </c>
      <c r="Q23" s="32">
        <f t="shared" si="4"/>
        <v>3</v>
      </c>
      <c r="R23" s="32">
        <f t="shared" ca="1" si="5"/>
        <v>0</v>
      </c>
      <c r="S23" s="33" t="s">
        <v>21</v>
      </c>
      <c r="T23" s="34">
        <f t="shared" si="6"/>
        <v>0</v>
      </c>
      <c r="U23" s="34">
        <f t="shared" ca="1" si="7"/>
        <v>0</v>
      </c>
      <c r="V23" s="34">
        <f>-SUMPRODUCT((S$6:S22=S23)*(X$6:X22=X23))</f>
        <v>0</v>
      </c>
      <c r="W23" s="34">
        <f>-SUMPRODUCT((S$6:S22=S23)*(X$6:X22=X23)*(B$6:B22&lt;&gt;"NS"))</f>
        <v>0</v>
      </c>
      <c r="X23" s="35">
        <f t="shared" si="8"/>
        <v>660.26958000000002</v>
      </c>
      <c r="Y23" s="52">
        <v>245</v>
      </c>
      <c r="Z23" s="29">
        <v>227</v>
      </c>
      <c r="AA23" s="29">
        <v>188</v>
      </c>
      <c r="AB23" s="52"/>
      <c r="AC23" s="52"/>
      <c r="AD23" s="52"/>
      <c r="AF23" s="36">
        <v>0</v>
      </c>
      <c r="AG23" s="36">
        <v>0</v>
      </c>
      <c r="AH23" s="36">
        <v>0</v>
      </c>
      <c r="AI23" s="36">
        <v>0</v>
      </c>
      <c r="AJ23" s="37">
        <v>3</v>
      </c>
      <c r="AK23" s="38">
        <v>660.26808000000005</v>
      </c>
      <c r="AL23" s="39">
        <v>245</v>
      </c>
      <c r="AM23" s="32">
        <v>717</v>
      </c>
      <c r="AN23" s="39"/>
      <c r="AO23" s="39"/>
      <c r="AP23" s="39"/>
      <c r="AQ23" s="50"/>
      <c r="AS23" s="1"/>
    </row>
    <row r="24" spans="1:45" s="26" customFormat="1">
      <c r="A24" s="1">
        <v>17</v>
      </c>
      <c r="B24" s="1">
        <v>16</v>
      </c>
      <c r="C24" s="40">
        <f t="shared" si="1"/>
        <v>17</v>
      </c>
      <c r="D24" s="40">
        <f t="shared" si="1"/>
        <v>16</v>
      </c>
      <c r="E24" s="1" t="s">
        <v>416</v>
      </c>
      <c r="F24" s="29" t="s">
        <v>53</v>
      </c>
      <c r="G24" s="29">
        <v>224</v>
      </c>
      <c r="H24" s="29">
        <v>209</v>
      </c>
      <c r="I24" s="52">
        <v>220</v>
      </c>
      <c r="J24" s="52"/>
      <c r="K24" s="52"/>
      <c r="L24" s="52"/>
      <c r="M24" s="32">
        <f t="shared" si="2"/>
        <v>653</v>
      </c>
      <c r="N24" s="32" t="s">
        <v>1330</v>
      </c>
      <c r="O24" s="32"/>
      <c r="P24" s="32">
        <f t="shared" si="3"/>
        <v>652.9982</v>
      </c>
      <c r="Q24" s="32">
        <f t="shared" si="4"/>
        <v>3</v>
      </c>
      <c r="R24" s="32">
        <f t="shared" ca="1" si="5"/>
        <v>0</v>
      </c>
      <c r="S24" s="33" t="s">
        <v>21</v>
      </c>
      <c r="T24" s="34">
        <f t="shared" si="6"/>
        <v>0</v>
      </c>
      <c r="U24" s="34">
        <f t="shared" ca="1" si="7"/>
        <v>0</v>
      </c>
      <c r="V24" s="34">
        <f>-SUMPRODUCT((S$6:S23=S24)*(X$6:X23=X24))</f>
        <v>0</v>
      </c>
      <c r="W24" s="34">
        <f>-SUMPRODUCT((S$6:S23=S24)*(X$6:X23=X24)*(B$6:B23&lt;&gt;"NS"))</f>
        <v>0</v>
      </c>
      <c r="X24" s="35">
        <f t="shared" si="8"/>
        <v>653.24809000000005</v>
      </c>
      <c r="Y24" s="29">
        <v>224</v>
      </c>
      <c r="Z24" s="52">
        <v>220</v>
      </c>
      <c r="AA24" s="29">
        <v>209</v>
      </c>
      <c r="AB24" s="52"/>
      <c r="AC24" s="52"/>
      <c r="AD24" s="52"/>
      <c r="AF24" s="36">
        <v>0</v>
      </c>
      <c r="AG24" s="36">
        <v>0</v>
      </c>
      <c r="AH24" s="36">
        <v>0</v>
      </c>
      <c r="AI24" s="36">
        <v>0</v>
      </c>
      <c r="AJ24" s="37">
        <v>3</v>
      </c>
      <c r="AK24" s="38">
        <v>653.24648999999999</v>
      </c>
      <c r="AL24" s="39">
        <v>224</v>
      </c>
      <c r="AM24" s="32">
        <v>668</v>
      </c>
      <c r="AN24" s="39"/>
      <c r="AO24" s="39"/>
      <c r="AP24" s="39"/>
      <c r="AQ24" s="50"/>
      <c r="AS24" s="1"/>
    </row>
    <row r="25" spans="1:45" s="26" customFormat="1">
      <c r="A25" s="1">
        <v>18</v>
      </c>
      <c r="B25" s="1">
        <v>17</v>
      </c>
      <c r="C25" s="40">
        <f t="shared" si="1"/>
        <v>18</v>
      </c>
      <c r="D25" s="40">
        <f t="shared" si="1"/>
        <v>17</v>
      </c>
      <c r="E25" s="1" t="s">
        <v>145</v>
      </c>
      <c r="F25" s="29" t="s">
        <v>76</v>
      </c>
      <c r="G25" s="29">
        <v>160</v>
      </c>
      <c r="H25" s="29"/>
      <c r="I25" s="52">
        <v>217</v>
      </c>
      <c r="J25" s="52"/>
      <c r="K25" s="52">
        <v>249</v>
      </c>
      <c r="L25" s="52"/>
      <c r="M25" s="32">
        <f t="shared" si="2"/>
        <v>626</v>
      </c>
      <c r="N25" s="32" t="s">
        <v>1330</v>
      </c>
      <c r="O25" s="32"/>
      <c r="P25" s="32">
        <f t="shared" si="3"/>
        <v>625.99810000000002</v>
      </c>
      <c r="Q25" s="32">
        <f t="shared" si="4"/>
        <v>3</v>
      </c>
      <c r="R25" s="32">
        <f t="shared" ca="1" si="5"/>
        <v>0</v>
      </c>
      <c r="S25" s="33" t="s">
        <v>21</v>
      </c>
      <c r="T25" s="34">
        <f t="shared" si="6"/>
        <v>0</v>
      </c>
      <c r="U25" s="34">
        <f t="shared" ca="1" si="7"/>
        <v>249</v>
      </c>
      <c r="V25" s="34">
        <f>-SUMPRODUCT((S$6:S24=S25)*(X$6:X24=X25))</f>
        <v>0</v>
      </c>
      <c r="W25" s="34">
        <f>-SUMPRODUCT((S$6:S24=S25)*(X$6:X24=X25)*(B$6:B24&lt;&gt;"NS"))</f>
        <v>0</v>
      </c>
      <c r="X25" s="35">
        <f t="shared" si="8"/>
        <v>626.27229999999997</v>
      </c>
      <c r="Y25" s="52">
        <v>249</v>
      </c>
      <c r="Z25" s="52">
        <v>217</v>
      </c>
      <c r="AA25" s="29">
        <v>160</v>
      </c>
      <c r="AB25" s="29"/>
      <c r="AC25" s="52"/>
      <c r="AD25" s="52"/>
      <c r="AF25" s="36">
        <v>0</v>
      </c>
      <c r="AG25" s="36">
        <v>0</v>
      </c>
      <c r="AH25" s="36">
        <v>0</v>
      </c>
      <c r="AI25" s="36">
        <v>0</v>
      </c>
      <c r="AJ25" s="37">
        <v>2</v>
      </c>
      <c r="AK25" s="38">
        <v>377.23040000000003</v>
      </c>
      <c r="AL25" s="39">
        <v>217</v>
      </c>
      <c r="AM25" s="32">
        <v>594</v>
      </c>
      <c r="AN25" s="39"/>
      <c r="AO25" s="39"/>
      <c r="AP25" s="39"/>
      <c r="AQ25" s="50"/>
      <c r="AS25" s="1"/>
    </row>
    <row r="26" spans="1:45" s="26" customFormat="1">
      <c r="A26" s="1">
        <v>19</v>
      </c>
      <c r="B26" s="1">
        <v>18</v>
      </c>
      <c r="C26" s="40">
        <f t="shared" si="1"/>
        <v>19</v>
      </c>
      <c r="D26" s="40">
        <f t="shared" si="1"/>
        <v>18</v>
      </c>
      <c r="E26" s="1" t="s">
        <v>27</v>
      </c>
      <c r="F26" s="29" t="s">
        <v>29</v>
      </c>
      <c r="G26" s="29"/>
      <c r="H26" s="29">
        <v>300</v>
      </c>
      <c r="I26" s="52"/>
      <c r="J26" s="52"/>
      <c r="K26" s="52">
        <v>298</v>
      </c>
      <c r="L26" s="52"/>
      <c r="M26" s="32">
        <f t="shared" si="2"/>
        <v>598</v>
      </c>
      <c r="N26" s="32" t="s">
        <v>1330</v>
      </c>
      <c r="O26" s="32"/>
      <c r="P26" s="32">
        <f t="shared" si="3"/>
        <v>597.99800000000005</v>
      </c>
      <c r="Q26" s="32">
        <f t="shared" si="4"/>
        <v>2</v>
      </c>
      <c r="R26" s="32">
        <f t="shared" ca="1" si="5"/>
        <v>0</v>
      </c>
      <c r="S26" s="33" t="s">
        <v>21</v>
      </c>
      <c r="T26" s="34">
        <f t="shared" si="6"/>
        <v>0</v>
      </c>
      <c r="U26" s="34">
        <f t="shared" ca="1" si="7"/>
        <v>298</v>
      </c>
      <c r="V26" s="34">
        <f>-SUMPRODUCT((S$6:S25=S26)*(X$6:X25=X26))</f>
        <v>0</v>
      </c>
      <c r="W26" s="34">
        <f>-SUMPRODUCT((S$6:S25=S26)*(X$6:X25=X26)*(B$6:B25&lt;&gt;"NS"))</f>
        <v>0</v>
      </c>
      <c r="X26" s="35">
        <f t="shared" si="8"/>
        <v>598.32979999999998</v>
      </c>
      <c r="Y26" s="29">
        <v>300</v>
      </c>
      <c r="Z26" s="52">
        <v>298</v>
      </c>
      <c r="AA26" s="29"/>
      <c r="AB26" s="52"/>
      <c r="AC26" s="52"/>
      <c r="AD26" s="52"/>
      <c r="AF26" s="36">
        <v>0</v>
      </c>
      <c r="AG26" s="36">
        <v>0</v>
      </c>
      <c r="AH26" s="36">
        <v>0</v>
      </c>
      <c r="AI26" s="36">
        <v>0</v>
      </c>
      <c r="AJ26" s="37">
        <v>1</v>
      </c>
      <c r="AK26" s="38">
        <v>300.29730000000001</v>
      </c>
      <c r="AL26" s="39">
        <v>300</v>
      </c>
      <c r="AM26" s="32">
        <v>600</v>
      </c>
      <c r="AN26" s="39"/>
      <c r="AO26" s="39"/>
      <c r="AP26" s="39"/>
      <c r="AQ26" s="50"/>
      <c r="AS26" s="1"/>
    </row>
    <row r="27" spans="1:45" s="26" customFormat="1">
      <c r="A27" s="1">
        <v>20</v>
      </c>
      <c r="B27" s="1">
        <v>19</v>
      </c>
      <c r="C27" s="40">
        <f t="shared" si="1"/>
        <v>20</v>
      </c>
      <c r="D27" s="40">
        <f t="shared" si="1"/>
        <v>19</v>
      </c>
      <c r="E27" s="1" t="s">
        <v>34</v>
      </c>
      <c r="F27" s="29" t="s">
        <v>19</v>
      </c>
      <c r="G27" s="29"/>
      <c r="H27" s="29"/>
      <c r="I27" s="52"/>
      <c r="J27" s="52">
        <v>297</v>
      </c>
      <c r="K27" s="52">
        <v>295</v>
      </c>
      <c r="L27" s="52"/>
      <c r="M27" s="32">
        <f t="shared" si="2"/>
        <v>592</v>
      </c>
      <c r="N27" s="32" t="s">
        <v>1330</v>
      </c>
      <c r="O27" s="32"/>
      <c r="P27" s="32">
        <f t="shared" si="3"/>
        <v>591.99789999999996</v>
      </c>
      <c r="Q27" s="32">
        <f t="shared" si="4"/>
        <v>2</v>
      </c>
      <c r="R27" s="32">
        <f t="shared" ca="1" si="5"/>
        <v>0</v>
      </c>
      <c r="S27" s="33" t="s">
        <v>21</v>
      </c>
      <c r="T27" s="34">
        <f t="shared" si="6"/>
        <v>0</v>
      </c>
      <c r="U27" s="34">
        <f t="shared" ca="1" si="7"/>
        <v>295</v>
      </c>
      <c r="V27" s="34">
        <f>-SUMPRODUCT((S$6:S26=S27)*(X$6:X26=X27))</f>
        <v>0</v>
      </c>
      <c r="W27" s="34">
        <f>-SUMPRODUCT((S$6:S26=S27)*(X$6:X26=X27)*(B$6:B26&lt;&gt;"NS"))</f>
        <v>0</v>
      </c>
      <c r="X27" s="35">
        <f t="shared" si="8"/>
        <v>592.32650000000001</v>
      </c>
      <c r="Y27" s="52">
        <v>297</v>
      </c>
      <c r="Z27" s="52">
        <v>295</v>
      </c>
      <c r="AA27" s="29"/>
      <c r="AB27" s="29"/>
      <c r="AC27" s="52"/>
      <c r="AD27" s="52"/>
      <c r="AF27" s="36">
        <v>0</v>
      </c>
      <c r="AG27" s="36">
        <v>0</v>
      </c>
      <c r="AH27" s="36">
        <v>0</v>
      </c>
      <c r="AI27" s="36">
        <v>0</v>
      </c>
      <c r="AJ27" s="37">
        <v>1</v>
      </c>
      <c r="AK27" s="38">
        <v>297.29400000000004</v>
      </c>
      <c r="AL27" s="39">
        <v>297</v>
      </c>
      <c r="AM27" s="32">
        <v>594</v>
      </c>
      <c r="AN27" s="39"/>
      <c r="AO27" s="39"/>
      <c r="AP27" s="39"/>
      <c r="AQ27" s="50"/>
      <c r="AS27" s="1"/>
    </row>
    <row r="28" spans="1:45" s="26" customFormat="1">
      <c r="A28" s="1">
        <v>21</v>
      </c>
      <c r="B28" s="1">
        <v>20</v>
      </c>
      <c r="C28" s="40">
        <f t="shared" si="1"/>
        <v>21</v>
      </c>
      <c r="D28" s="40">
        <f t="shared" si="1"/>
        <v>20</v>
      </c>
      <c r="E28" s="1" t="s">
        <v>417</v>
      </c>
      <c r="F28" s="29" t="s">
        <v>29</v>
      </c>
      <c r="G28" s="29">
        <v>293</v>
      </c>
      <c r="H28" s="29"/>
      <c r="I28" s="52">
        <v>296</v>
      </c>
      <c r="J28" s="52"/>
      <c r="K28" s="52"/>
      <c r="L28" s="52"/>
      <c r="M28" s="32">
        <f t="shared" si="2"/>
        <v>589</v>
      </c>
      <c r="N28" s="32" t="s">
        <v>1330</v>
      </c>
      <c r="O28" s="32"/>
      <c r="P28" s="32">
        <f t="shared" si="3"/>
        <v>588.99779999999998</v>
      </c>
      <c r="Q28" s="32">
        <f t="shared" si="4"/>
        <v>2</v>
      </c>
      <c r="R28" s="32">
        <f t="shared" ca="1" si="5"/>
        <v>0</v>
      </c>
      <c r="S28" s="33" t="s">
        <v>21</v>
      </c>
      <c r="T28" s="34">
        <f t="shared" si="6"/>
        <v>0</v>
      </c>
      <c r="U28" s="34">
        <f t="shared" ca="1" si="7"/>
        <v>0</v>
      </c>
      <c r="V28" s="34">
        <f>-SUMPRODUCT((S$6:S27=S28)*(X$6:X27=X28))</f>
        <v>0</v>
      </c>
      <c r="W28" s="34">
        <f>-SUMPRODUCT((S$6:S27=S28)*(X$6:X27=X28)*(B$6:B27&lt;&gt;"NS"))</f>
        <v>0</v>
      </c>
      <c r="X28" s="35">
        <f t="shared" si="8"/>
        <v>589.32529999999997</v>
      </c>
      <c r="Y28" s="52">
        <v>296</v>
      </c>
      <c r="Z28" s="29">
        <v>293</v>
      </c>
      <c r="AA28" s="29"/>
      <c r="AB28" s="52"/>
      <c r="AC28" s="52"/>
      <c r="AD28" s="52"/>
      <c r="AF28" s="36">
        <v>0</v>
      </c>
      <c r="AG28" s="36">
        <v>0</v>
      </c>
      <c r="AH28" s="36">
        <v>0</v>
      </c>
      <c r="AI28" s="36">
        <v>0</v>
      </c>
      <c r="AJ28" s="37">
        <v>2</v>
      </c>
      <c r="AK28" s="38">
        <v>589.32360000000006</v>
      </c>
      <c r="AL28" s="39">
        <v>296</v>
      </c>
      <c r="AM28" s="32">
        <v>885</v>
      </c>
      <c r="AN28" s="39"/>
      <c r="AO28" s="39"/>
      <c r="AP28" s="39" t="s">
        <v>35</v>
      </c>
      <c r="AQ28" s="50"/>
      <c r="AS28" s="1"/>
    </row>
    <row r="29" spans="1:45" s="26" customFormat="1">
      <c r="A29" s="1">
        <v>22</v>
      </c>
      <c r="B29" s="1">
        <v>21</v>
      </c>
      <c r="C29" s="40">
        <f t="shared" si="1"/>
        <v>22</v>
      </c>
      <c r="D29" s="40">
        <f t="shared" si="1"/>
        <v>21</v>
      </c>
      <c r="E29" s="1" t="s">
        <v>418</v>
      </c>
      <c r="F29" s="29" t="s">
        <v>50</v>
      </c>
      <c r="G29" s="29"/>
      <c r="H29" s="29">
        <v>292</v>
      </c>
      <c r="I29" s="52"/>
      <c r="J29" s="52">
        <v>291</v>
      </c>
      <c r="K29" s="52"/>
      <c r="L29" s="52"/>
      <c r="M29" s="32">
        <f t="shared" si="2"/>
        <v>583</v>
      </c>
      <c r="N29" s="32" t="s">
        <v>1330</v>
      </c>
      <c r="O29" s="32"/>
      <c r="P29" s="32">
        <f t="shared" si="3"/>
        <v>582.99770000000001</v>
      </c>
      <c r="Q29" s="32">
        <f t="shared" si="4"/>
        <v>2</v>
      </c>
      <c r="R29" s="32">
        <f t="shared" ca="1" si="5"/>
        <v>0</v>
      </c>
      <c r="S29" s="33" t="s">
        <v>21</v>
      </c>
      <c r="T29" s="34">
        <f t="shared" si="6"/>
        <v>0</v>
      </c>
      <c r="U29" s="34">
        <f t="shared" ca="1" si="7"/>
        <v>0</v>
      </c>
      <c r="V29" s="34">
        <f>-SUMPRODUCT((S$6:S28=S29)*(X$6:X28=X29))</f>
        <v>0</v>
      </c>
      <c r="W29" s="34">
        <f>-SUMPRODUCT((S$6:S28=S29)*(X$6:X28=X29)*(B$6:B28&lt;&gt;"NS"))</f>
        <v>0</v>
      </c>
      <c r="X29" s="35">
        <f t="shared" si="8"/>
        <v>583.3211</v>
      </c>
      <c r="Y29" s="29">
        <v>292</v>
      </c>
      <c r="Z29" s="52">
        <v>291</v>
      </c>
      <c r="AA29" s="29"/>
      <c r="AB29" s="52"/>
      <c r="AC29" s="52"/>
      <c r="AD29" s="52"/>
      <c r="AF29" s="36">
        <v>0</v>
      </c>
      <c r="AG29" s="36">
        <v>0</v>
      </c>
      <c r="AH29" s="36">
        <v>0</v>
      </c>
      <c r="AI29" s="36">
        <v>0</v>
      </c>
      <c r="AJ29" s="37">
        <v>2</v>
      </c>
      <c r="AK29" s="38">
        <v>583.3193</v>
      </c>
      <c r="AL29" s="39">
        <v>292</v>
      </c>
      <c r="AM29" s="32">
        <v>875</v>
      </c>
      <c r="AN29" s="39"/>
      <c r="AO29" s="39"/>
      <c r="AP29" s="39" t="s">
        <v>35</v>
      </c>
      <c r="AQ29" s="50"/>
      <c r="AS29" s="1"/>
    </row>
    <row r="30" spans="1:45" s="26" customFormat="1">
      <c r="A30" s="1">
        <v>23</v>
      </c>
      <c r="B30" s="1" t="s">
        <v>111</v>
      </c>
      <c r="C30" s="40">
        <f t="shared" si="1"/>
        <v>23</v>
      </c>
      <c r="D30" s="40" t="str">
        <f t="shared" si="1"/>
        <v>NS</v>
      </c>
      <c r="E30" s="1" t="s">
        <v>419</v>
      </c>
      <c r="F30" s="29" t="s">
        <v>201</v>
      </c>
      <c r="G30" s="29">
        <v>283</v>
      </c>
      <c r="H30" s="29">
        <v>286</v>
      </c>
      <c r="I30" s="52"/>
      <c r="J30" s="52"/>
      <c r="K30" s="52"/>
      <c r="L30" s="52"/>
      <c r="M30" s="32">
        <f t="shared" si="2"/>
        <v>569</v>
      </c>
      <c r="N30" s="32" t="s">
        <v>1331</v>
      </c>
      <c r="O30" s="32"/>
      <c r="P30" s="32">
        <f t="shared" si="3"/>
        <v>568.99760000000003</v>
      </c>
      <c r="Q30" s="32">
        <f t="shared" si="4"/>
        <v>2</v>
      </c>
      <c r="R30" s="32">
        <f t="shared" ca="1" si="5"/>
        <v>0</v>
      </c>
      <c r="S30" s="33" t="s">
        <v>21</v>
      </c>
      <c r="T30" s="34">
        <f t="shared" si="6"/>
        <v>0</v>
      </c>
      <c r="U30" s="34">
        <f t="shared" ca="1" si="7"/>
        <v>0</v>
      </c>
      <c r="V30" s="34">
        <f>-SUMPRODUCT((S$6:S29=S30)*(X$6:X29=X30))</f>
        <v>0</v>
      </c>
      <c r="W30" s="34">
        <f>-SUMPRODUCT((S$6:S29=S30)*(X$6:X29=X30)*(B$6:B29&lt;&gt;"NS"))</f>
        <v>0</v>
      </c>
      <c r="X30" s="35">
        <f t="shared" si="8"/>
        <v>569.3143</v>
      </c>
      <c r="Y30" s="29">
        <v>286</v>
      </c>
      <c r="Z30" s="29">
        <v>283</v>
      </c>
      <c r="AA30" s="52"/>
      <c r="AB30" s="52"/>
      <c r="AC30" s="52"/>
      <c r="AD30" s="52"/>
      <c r="AF30" s="36">
        <v>0</v>
      </c>
      <c r="AG30" s="36">
        <v>0</v>
      </c>
      <c r="AH30" s="36">
        <v>0</v>
      </c>
      <c r="AI30" s="36">
        <v>0</v>
      </c>
      <c r="AJ30" s="37">
        <v>2</v>
      </c>
      <c r="AK30" s="38">
        <v>569.31229999999994</v>
      </c>
      <c r="AL30" s="39">
        <v>286</v>
      </c>
      <c r="AM30" s="32">
        <v>0</v>
      </c>
      <c r="AN30" s="39"/>
      <c r="AO30" s="39"/>
      <c r="AP30" s="39"/>
      <c r="AQ30" s="50"/>
      <c r="AS30" s="1"/>
    </row>
    <row r="31" spans="1:45" s="26" customFormat="1">
      <c r="A31" s="1">
        <v>24</v>
      </c>
      <c r="B31" s="1">
        <v>22</v>
      </c>
      <c r="C31" s="40">
        <f t="shared" si="1"/>
        <v>24</v>
      </c>
      <c r="D31" s="40">
        <f t="shared" si="1"/>
        <v>22</v>
      </c>
      <c r="E31" s="1" t="s">
        <v>420</v>
      </c>
      <c r="F31" s="29" t="s">
        <v>53</v>
      </c>
      <c r="G31" s="29">
        <v>200</v>
      </c>
      <c r="H31" s="29">
        <v>133</v>
      </c>
      <c r="I31" s="52"/>
      <c r="J31" s="52">
        <v>227</v>
      </c>
      <c r="K31" s="52"/>
      <c r="L31" s="52"/>
      <c r="M31" s="32">
        <f t="shared" si="2"/>
        <v>560</v>
      </c>
      <c r="N31" s="32" t="s">
        <v>1330</v>
      </c>
      <c r="O31" s="32"/>
      <c r="P31" s="32">
        <f t="shared" si="3"/>
        <v>559.99749999999995</v>
      </c>
      <c r="Q31" s="32">
        <f t="shared" si="4"/>
        <v>3</v>
      </c>
      <c r="R31" s="32">
        <f t="shared" ca="1" si="5"/>
        <v>0</v>
      </c>
      <c r="S31" s="33" t="s">
        <v>21</v>
      </c>
      <c r="T31" s="34">
        <f t="shared" si="6"/>
        <v>0</v>
      </c>
      <c r="U31" s="34">
        <f t="shared" ca="1" si="7"/>
        <v>0</v>
      </c>
      <c r="V31" s="34">
        <f>-SUMPRODUCT((S$6:S30=S31)*(X$6:X30=X31))</f>
        <v>0</v>
      </c>
      <c r="W31" s="34">
        <f>-SUMPRODUCT((S$6:S30=S31)*(X$6:X30=X31)*(B$6:B30&lt;&gt;"NS"))</f>
        <v>0</v>
      </c>
      <c r="X31" s="35">
        <f t="shared" si="8"/>
        <v>560.24833000000001</v>
      </c>
      <c r="Y31" s="52">
        <v>227</v>
      </c>
      <c r="Z31" s="29">
        <v>200</v>
      </c>
      <c r="AA31" s="29">
        <v>133</v>
      </c>
      <c r="AB31" s="52"/>
      <c r="AC31" s="52"/>
      <c r="AD31" s="52"/>
      <c r="AF31" s="36">
        <v>0</v>
      </c>
      <c r="AG31" s="36">
        <v>0</v>
      </c>
      <c r="AH31" s="36">
        <v>0</v>
      </c>
      <c r="AI31" s="36">
        <v>0</v>
      </c>
      <c r="AJ31" s="37">
        <v>3</v>
      </c>
      <c r="AK31" s="38">
        <v>560.24622999999997</v>
      </c>
      <c r="AL31" s="39">
        <v>227</v>
      </c>
      <c r="AM31" s="32">
        <v>654</v>
      </c>
      <c r="AN31" s="39"/>
      <c r="AO31" s="39"/>
      <c r="AP31" s="39"/>
      <c r="AQ31" s="50"/>
      <c r="AS31" s="1"/>
    </row>
    <row r="32" spans="1:45" s="26" customFormat="1">
      <c r="A32" s="1">
        <v>25</v>
      </c>
      <c r="B32" s="1">
        <v>23</v>
      </c>
      <c r="C32" s="40">
        <f t="shared" si="1"/>
        <v>25</v>
      </c>
      <c r="D32" s="40">
        <f t="shared" si="1"/>
        <v>23</v>
      </c>
      <c r="E32" s="1" t="s">
        <v>421</v>
      </c>
      <c r="F32" s="29" t="s">
        <v>93</v>
      </c>
      <c r="G32" s="29"/>
      <c r="H32" s="29">
        <v>282</v>
      </c>
      <c r="I32" s="52"/>
      <c r="J32" s="52">
        <v>266</v>
      </c>
      <c r="K32" s="52"/>
      <c r="L32" s="52"/>
      <c r="M32" s="32">
        <f t="shared" si="2"/>
        <v>548</v>
      </c>
      <c r="N32" s="32" t="s">
        <v>1330</v>
      </c>
      <c r="O32" s="32"/>
      <c r="P32" s="32">
        <f t="shared" si="3"/>
        <v>547.99739999999997</v>
      </c>
      <c r="Q32" s="32">
        <f t="shared" si="4"/>
        <v>2</v>
      </c>
      <c r="R32" s="32">
        <f t="shared" ca="1" si="5"/>
        <v>0</v>
      </c>
      <c r="S32" s="33" t="s">
        <v>21</v>
      </c>
      <c r="T32" s="34">
        <f t="shared" si="6"/>
        <v>0</v>
      </c>
      <c r="U32" s="34">
        <f t="shared" ca="1" si="7"/>
        <v>0</v>
      </c>
      <c r="V32" s="34">
        <f>-SUMPRODUCT((S$6:S31=S32)*(X$6:X31=X32))</f>
        <v>0</v>
      </c>
      <c r="W32" s="34">
        <f>-SUMPRODUCT((S$6:S31=S32)*(X$6:X31=X32)*(B$6:B31&lt;&gt;"NS"))</f>
        <v>0</v>
      </c>
      <c r="X32" s="35">
        <f t="shared" si="8"/>
        <v>548.30859999999996</v>
      </c>
      <c r="Y32" s="29">
        <v>282</v>
      </c>
      <c r="Z32" s="52">
        <v>266</v>
      </c>
      <c r="AA32" s="29"/>
      <c r="AB32" s="52"/>
      <c r="AC32" s="52"/>
      <c r="AD32" s="52"/>
      <c r="AF32" s="36">
        <v>0</v>
      </c>
      <c r="AG32" s="36">
        <v>0</v>
      </c>
      <c r="AH32" s="36">
        <v>0</v>
      </c>
      <c r="AI32" s="36">
        <v>0</v>
      </c>
      <c r="AJ32" s="37">
        <v>2</v>
      </c>
      <c r="AK32" s="38">
        <v>548.30640000000005</v>
      </c>
      <c r="AL32" s="39">
        <v>282</v>
      </c>
      <c r="AM32" s="32">
        <v>830</v>
      </c>
      <c r="AN32" s="39"/>
      <c r="AO32" s="39"/>
      <c r="AP32" s="39"/>
      <c r="AQ32" s="50"/>
      <c r="AS32" s="1"/>
    </row>
    <row r="33" spans="1:45" s="26" customFormat="1">
      <c r="A33" s="1">
        <v>26</v>
      </c>
      <c r="B33" s="1">
        <v>24</v>
      </c>
      <c r="C33" s="40">
        <f t="shared" si="1"/>
        <v>26</v>
      </c>
      <c r="D33" s="40">
        <f t="shared" si="1"/>
        <v>24</v>
      </c>
      <c r="E33" s="1" t="s">
        <v>422</v>
      </c>
      <c r="F33" s="29" t="s">
        <v>134</v>
      </c>
      <c r="G33" s="29">
        <v>220</v>
      </c>
      <c r="H33" s="29">
        <v>299</v>
      </c>
      <c r="I33" s="52"/>
      <c r="J33" s="52"/>
      <c r="K33" s="52"/>
      <c r="L33" s="52"/>
      <c r="M33" s="32">
        <f t="shared" si="2"/>
        <v>519</v>
      </c>
      <c r="N33" s="32" t="s">
        <v>1330</v>
      </c>
      <c r="O33" s="32"/>
      <c r="P33" s="32">
        <f t="shared" si="3"/>
        <v>518.9973</v>
      </c>
      <c r="Q33" s="32">
        <f t="shared" si="4"/>
        <v>2</v>
      </c>
      <c r="R33" s="32">
        <f t="shared" ca="1" si="5"/>
        <v>0</v>
      </c>
      <c r="S33" s="33" t="s">
        <v>21</v>
      </c>
      <c r="T33" s="34">
        <f t="shared" si="6"/>
        <v>0</v>
      </c>
      <c r="U33" s="34">
        <f t="shared" ca="1" si="7"/>
        <v>0</v>
      </c>
      <c r="V33" s="34">
        <f>-SUMPRODUCT((S$6:S32=S33)*(X$6:X32=X33))</f>
        <v>0</v>
      </c>
      <c r="W33" s="34">
        <f>-SUMPRODUCT((S$6:S32=S33)*(X$6:X32=X33)*(B$6:B32&lt;&gt;"NS"))</f>
        <v>0</v>
      </c>
      <c r="X33" s="35">
        <f t="shared" si="8"/>
        <v>519.32100000000003</v>
      </c>
      <c r="Y33" s="29">
        <v>299</v>
      </c>
      <c r="Z33" s="29">
        <v>220</v>
      </c>
      <c r="AA33" s="52"/>
      <c r="AB33" s="52"/>
      <c r="AC33" s="52"/>
      <c r="AD33" s="52"/>
      <c r="AF33" s="36">
        <v>0</v>
      </c>
      <c r="AG33" s="36">
        <v>0</v>
      </c>
      <c r="AH33" s="36">
        <v>0</v>
      </c>
      <c r="AI33" s="36">
        <v>0</v>
      </c>
      <c r="AJ33" s="37">
        <v>2</v>
      </c>
      <c r="AK33" s="38">
        <v>519.31870000000004</v>
      </c>
      <c r="AL33" s="39">
        <v>299</v>
      </c>
      <c r="AM33" s="32">
        <v>818</v>
      </c>
      <c r="AN33" s="39"/>
      <c r="AO33" s="39"/>
      <c r="AP33" s="39"/>
      <c r="AQ33" s="50"/>
      <c r="AS33" s="1"/>
    </row>
    <row r="34" spans="1:45" s="26" customFormat="1">
      <c r="A34" s="1">
        <v>27</v>
      </c>
      <c r="B34" s="1">
        <v>25</v>
      </c>
      <c r="C34" s="40">
        <f t="shared" si="1"/>
        <v>27</v>
      </c>
      <c r="D34" s="40">
        <f t="shared" si="1"/>
        <v>25</v>
      </c>
      <c r="E34" s="1" t="s">
        <v>94</v>
      </c>
      <c r="F34" s="29" t="s">
        <v>61</v>
      </c>
      <c r="G34" s="29"/>
      <c r="H34" s="29"/>
      <c r="I34" s="52"/>
      <c r="J34" s="52">
        <v>220</v>
      </c>
      <c r="K34" s="52">
        <v>273</v>
      </c>
      <c r="L34" s="52"/>
      <c r="M34" s="32">
        <f t="shared" si="2"/>
        <v>493</v>
      </c>
      <c r="N34" s="32" t="s">
        <v>1330</v>
      </c>
      <c r="O34" s="32"/>
      <c r="P34" s="32">
        <f t="shared" si="3"/>
        <v>492.99720000000002</v>
      </c>
      <c r="Q34" s="32">
        <f t="shared" si="4"/>
        <v>2</v>
      </c>
      <c r="R34" s="32">
        <f t="shared" ca="1" si="5"/>
        <v>0</v>
      </c>
      <c r="S34" s="33" t="s">
        <v>21</v>
      </c>
      <c r="T34" s="34">
        <f t="shared" si="6"/>
        <v>0</v>
      </c>
      <c r="U34" s="34">
        <f t="shared" ca="1" si="7"/>
        <v>273</v>
      </c>
      <c r="V34" s="34">
        <f>-SUMPRODUCT((S$6:S33=S34)*(X$6:X33=X34))</f>
        <v>0</v>
      </c>
      <c r="W34" s="34">
        <f>-SUMPRODUCT((S$6:S33=S34)*(X$6:X33=X34)*(B$6:B33&lt;&gt;"NS"))</f>
        <v>0</v>
      </c>
      <c r="X34" s="35">
        <f t="shared" si="8"/>
        <v>493.29500000000002</v>
      </c>
      <c r="Y34" s="52">
        <v>273</v>
      </c>
      <c r="Z34" s="52">
        <v>220</v>
      </c>
      <c r="AA34" s="29"/>
      <c r="AB34" s="29"/>
      <c r="AC34" s="52"/>
      <c r="AD34" s="52"/>
      <c r="AF34" s="36">
        <v>0</v>
      </c>
      <c r="AG34" s="36">
        <v>0</v>
      </c>
      <c r="AH34" s="36">
        <v>0</v>
      </c>
      <c r="AI34" s="36">
        <v>0</v>
      </c>
      <c r="AJ34" s="37">
        <v>1</v>
      </c>
      <c r="AK34" s="38">
        <v>220.2159</v>
      </c>
      <c r="AL34" s="39">
        <v>220</v>
      </c>
      <c r="AM34" s="32">
        <v>440</v>
      </c>
      <c r="AN34" s="39"/>
      <c r="AO34" s="39"/>
      <c r="AP34" s="39"/>
      <c r="AQ34" s="50"/>
      <c r="AS34" s="1"/>
    </row>
    <row r="35" spans="1:45" s="26" customFormat="1">
      <c r="A35" s="1">
        <v>28</v>
      </c>
      <c r="B35" s="1">
        <v>26</v>
      </c>
      <c r="C35" s="40">
        <f t="shared" si="1"/>
        <v>28</v>
      </c>
      <c r="D35" s="40">
        <f t="shared" si="1"/>
        <v>26</v>
      </c>
      <c r="E35" s="1" t="s">
        <v>181</v>
      </c>
      <c r="F35" s="29" t="s">
        <v>88</v>
      </c>
      <c r="G35" s="29"/>
      <c r="H35" s="29"/>
      <c r="I35" s="52">
        <v>181</v>
      </c>
      <c r="J35" s="52"/>
      <c r="K35" s="52">
        <v>227</v>
      </c>
      <c r="L35" s="52"/>
      <c r="M35" s="32">
        <f t="shared" si="2"/>
        <v>408</v>
      </c>
      <c r="N35" s="32" t="s">
        <v>1330</v>
      </c>
      <c r="O35" s="32"/>
      <c r="P35" s="32">
        <f t="shared" si="3"/>
        <v>407.99709999999999</v>
      </c>
      <c r="Q35" s="32">
        <f t="shared" si="4"/>
        <v>2</v>
      </c>
      <c r="R35" s="32">
        <f t="shared" ca="1" si="5"/>
        <v>0</v>
      </c>
      <c r="S35" s="33" t="s">
        <v>21</v>
      </c>
      <c r="T35" s="34">
        <f t="shared" si="6"/>
        <v>0</v>
      </c>
      <c r="U35" s="34">
        <f t="shared" ca="1" si="7"/>
        <v>227</v>
      </c>
      <c r="V35" s="34">
        <f>-SUMPRODUCT((S$6:S34=S35)*(X$6:X34=X35))</f>
        <v>0</v>
      </c>
      <c r="W35" s="34">
        <f>-SUMPRODUCT((S$6:S34=S35)*(X$6:X34=X35)*(B$6:B34&lt;&gt;"NS"))</f>
        <v>0</v>
      </c>
      <c r="X35" s="35">
        <f t="shared" si="8"/>
        <v>408.24509999999998</v>
      </c>
      <c r="Y35" s="52">
        <v>227</v>
      </c>
      <c r="Z35" s="52">
        <v>181</v>
      </c>
      <c r="AA35" s="29"/>
      <c r="AB35" s="29"/>
      <c r="AC35" s="52"/>
      <c r="AD35" s="52"/>
      <c r="AF35" s="36">
        <v>0</v>
      </c>
      <c r="AG35" s="36">
        <v>0</v>
      </c>
      <c r="AH35" s="36">
        <v>0</v>
      </c>
      <c r="AI35" s="36">
        <v>0</v>
      </c>
      <c r="AJ35" s="37">
        <v>1</v>
      </c>
      <c r="AK35" s="38">
        <v>181.1765</v>
      </c>
      <c r="AL35" s="39">
        <v>181</v>
      </c>
      <c r="AM35" s="32">
        <v>362</v>
      </c>
      <c r="AN35" s="39"/>
      <c r="AO35" s="39"/>
      <c r="AP35" s="39"/>
      <c r="AQ35" s="50"/>
      <c r="AS35" s="1"/>
    </row>
    <row r="36" spans="1:45" s="26" customFormat="1">
      <c r="A36" s="1">
        <v>29</v>
      </c>
      <c r="B36" s="1">
        <v>27</v>
      </c>
      <c r="C36" s="40">
        <f t="shared" si="1"/>
        <v>29</v>
      </c>
      <c r="D36" s="40">
        <f t="shared" si="1"/>
        <v>27</v>
      </c>
      <c r="E36" s="1" t="s">
        <v>423</v>
      </c>
      <c r="F36" s="29" t="s">
        <v>38</v>
      </c>
      <c r="G36" s="29">
        <v>193</v>
      </c>
      <c r="H36" s="29">
        <v>189</v>
      </c>
      <c r="I36" s="52"/>
      <c r="J36" s="52"/>
      <c r="K36" s="52"/>
      <c r="L36" s="52"/>
      <c r="M36" s="32">
        <f t="shared" si="2"/>
        <v>382</v>
      </c>
      <c r="N36" s="32" t="s">
        <v>1330</v>
      </c>
      <c r="O36" s="32"/>
      <c r="P36" s="32">
        <f t="shared" si="3"/>
        <v>381.99700000000001</v>
      </c>
      <c r="Q36" s="32">
        <f t="shared" si="4"/>
        <v>2</v>
      </c>
      <c r="R36" s="32">
        <f t="shared" ca="1" si="5"/>
        <v>0</v>
      </c>
      <c r="S36" s="33" t="s">
        <v>21</v>
      </c>
      <c r="T36" s="34">
        <f t="shared" si="6"/>
        <v>0</v>
      </c>
      <c r="U36" s="34">
        <f t="shared" ca="1" si="7"/>
        <v>0</v>
      </c>
      <c r="V36" s="34">
        <f>-SUMPRODUCT((S$6:S35=S36)*(X$6:X35=X36))</f>
        <v>0</v>
      </c>
      <c r="W36" s="34">
        <f>-SUMPRODUCT((S$6:S35=S36)*(X$6:X35=X36)*(B$6:B35&lt;&gt;"NS"))</f>
        <v>0</v>
      </c>
      <c r="X36" s="35">
        <f t="shared" si="8"/>
        <v>382.21190000000001</v>
      </c>
      <c r="Y36" s="29">
        <v>193</v>
      </c>
      <c r="Z36" s="29">
        <v>189</v>
      </c>
      <c r="AA36" s="52"/>
      <c r="AB36" s="52"/>
      <c r="AC36" s="52"/>
      <c r="AD36" s="52"/>
      <c r="AF36" s="36">
        <v>0</v>
      </c>
      <c r="AG36" s="36">
        <v>0</v>
      </c>
      <c r="AH36" s="36">
        <v>0</v>
      </c>
      <c r="AI36" s="36">
        <v>0</v>
      </c>
      <c r="AJ36" s="37">
        <v>2</v>
      </c>
      <c r="AK36" s="38">
        <v>382.20939999999996</v>
      </c>
      <c r="AL36" s="39">
        <v>193</v>
      </c>
      <c r="AM36" s="32">
        <v>575</v>
      </c>
      <c r="AN36" s="39"/>
      <c r="AO36" s="39"/>
      <c r="AP36" s="39"/>
      <c r="AQ36" s="50"/>
      <c r="AS36" s="1"/>
    </row>
    <row r="37" spans="1:45" s="26" customFormat="1">
      <c r="A37" s="1">
        <v>30</v>
      </c>
      <c r="B37" s="1">
        <v>28</v>
      </c>
      <c r="C37" s="40">
        <f t="shared" si="1"/>
        <v>30</v>
      </c>
      <c r="D37" s="40">
        <f t="shared" si="1"/>
        <v>28</v>
      </c>
      <c r="E37" s="1" t="s">
        <v>17</v>
      </c>
      <c r="F37" s="29" t="s">
        <v>19</v>
      </c>
      <c r="G37" s="29"/>
      <c r="H37" s="29"/>
      <c r="I37" s="52"/>
      <c r="J37" s="52"/>
      <c r="K37" s="52">
        <v>300</v>
      </c>
      <c r="L37" s="52"/>
      <c r="M37" s="32">
        <f t="shared" si="2"/>
        <v>300</v>
      </c>
      <c r="N37" s="32" t="s">
        <v>1330</v>
      </c>
      <c r="O37" s="32"/>
      <c r="P37" s="32">
        <f t="shared" si="3"/>
        <v>299.99689999999998</v>
      </c>
      <c r="Q37" s="32">
        <f t="shared" si="4"/>
        <v>1</v>
      </c>
      <c r="R37" s="32" t="str">
        <f t="shared" ca="1" si="5"/>
        <v>Y</v>
      </c>
      <c r="S37" s="33" t="s">
        <v>21</v>
      </c>
      <c r="T37" s="34">
        <f t="shared" si="6"/>
        <v>0</v>
      </c>
      <c r="U37" s="34">
        <f t="shared" ca="1" si="7"/>
        <v>300</v>
      </c>
      <c r="V37" s="34">
        <f>-SUMPRODUCT((S$6:S36=S37)*(X$6:X36=X37))</f>
        <v>0</v>
      </c>
      <c r="W37" s="34">
        <f>-SUMPRODUCT((S$6:S36=S37)*(X$6:X36=X37)*(B$6:B36&lt;&gt;"NS"))</f>
        <v>0</v>
      </c>
      <c r="X37" s="35">
        <f t="shared" si="8"/>
        <v>300.3</v>
      </c>
      <c r="Y37" s="52">
        <v>300</v>
      </c>
      <c r="Z37" s="29"/>
      <c r="AA37" s="29"/>
      <c r="AB37" s="52"/>
      <c r="AC37" s="52"/>
      <c r="AD37" s="52"/>
      <c r="AF37" s="36"/>
      <c r="AG37" s="36"/>
      <c r="AH37" s="36"/>
      <c r="AI37" s="36"/>
      <c r="AJ37" s="37"/>
      <c r="AK37" s="38"/>
      <c r="AL37" s="39"/>
      <c r="AM37" s="32"/>
      <c r="AN37" s="39"/>
      <c r="AO37" s="39"/>
      <c r="AP37" s="39"/>
      <c r="AQ37" s="50"/>
      <c r="AS37" s="1"/>
    </row>
    <row r="38" spans="1:45" s="26" customFormat="1">
      <c r="A38" s="1">
        <v>31</v>
      </c>
      <c r="B38" s="1">
        <v>29</v>
      </c>
      <c r="C38" s="40">
        <f t="shared" si="1"/>
        <v>31</v>
      </c>
      <c r="D38" s="40">
        <f t="shared" si="1"/>
        <v>29</v>
      </c>
      <c r="E38" s="1" t="s">
        <v>424</v>
      </c>
      <c r="F38" s="29" t="s">
        <v>57</v>
      </c>
      <c r="G38" s="29"/>
      <c r="H38" s="29"/>
      <c r="I38" s="52">
        <v>299</v>
      </c>
      <c r="J38" s="52"/>
      <c r="K38" s="52"/>
      <c r="L38" s="52"/>
      <c r="M38" s="32">
        <f t="shared" si="2"/>
        <v>299</v>
      </c>
      <c r="N38" s="32" t="s">
        <v>1330</v>
      </c>
      <c r="O38" s="32"/>
      <c r="P38" s="32">
        <f t="shared" si="3"/>
        <v>298.99680000000001</v>
      </c>
      <c r="Q38" s="32">
        <f t="shared" si="4"/>
        <v>1</v>
      </c>
      <c r="R38" s="32">
        <f t="shared" ca="1" si="5"/>
        <v>0</v>
      </c>
      <c r="S38" s="33" t="s">
        <v>21</v>
      </c>
      <c r="T38" s="34">
        <f t="shared" si="6"/>
        <v>0</v>
      </c>
      <c r="U38" s="34">
        <f t="shared" ca="1" si="7"/>
        <v>0</v>
      </c>
      <c r="V38" s="34">
        <f>-SUMPRODUCT((S$6:S37=S38)*(X$6:X37=X38))</f>
        <v>0</v>
      </c>
      <c r="W38" s="34">
        <f>-SUMPRODUCT((S$6:S37=S38)*(X$6:X37=X38)*(B$6:B37&lt;&gt;"NS"))</f>
        <v>0</v>
      </c>
      <c r="X38" s="35">
        <f t="shared" si="8"/>
        <v>299.29899999999998</v>
      </c>
      <c r="Y38" s="52">
        <v>299</v>
      </c>
      <c r="Z38" s="29"/>
      <c r="AA38" s="29"/>
      <c r="AB38" s="52"/>
      <c r="AC38" s="52"/>
      <c r="AD38" s="52"/>
      <c r="AF38" s="36">
        <v>0</v>
      </c>
      <c r="AG38" s="36">
        <v>0</v>
      </c>
      <c r="AH38" s="36">
        <v>0</v>
      </c>
      <c r="AI38" s="36">
        <v>0</v>
      </c>
      <c r="AJ38" s="37">
        <v>1</v>
      </c>
      <c r="AK38" s="38">
        <v>299.2962</v>
      </c>
      <c r="AL38" s="39">
        <v>299</v>
      </c>
      <c r="AM38" s="32">
        <v>598</v>
      </c>
      <c r="AN38" s="39"/>
      <c r="AO38" s="39"/>
      <c r="AP38" s="39"/>
      <c r="AQ38" s="50"/>
      <c r="AS38" s="1"/>
    </row>
    <row r="39" spans="1:45" s="26" customFormat="1">
      <c r="A39" s="1">
        <v>32</v>
      </c>
      <c r="B39" s="1">
        <v>30</v>
      </c>
      <c r="C39" s="40">
        <f t="shared" si="1"/>
        <v>32</v>
      </c>
      <c r="D39" s="40">
        <f t="shared" si="1"/>
        <v>30</v>
      </c>
      <c r="E39" s="1" t="s">
        <v>425</v>
      </c>
      <c r="F39" s="29" t="s">
        <v>50</v>
      </c>
      <c r="G39" s="29"/>
      <c r="H39" s="29">
        <v>297</v>
      </c>
      <c r="I39" s="52"/>
      <c r="J39" s="52"/>
      <c r="K39" s="52"/>
      <c r="L39" s="52"/>
      <c r="M39" s="32">
        <f t="shared" si="2"/>
        <v>297</v>
      </c>
      <c r="N39" s="32" t="s">
        <v>1330</v>
      </c>
      <c r="O39" s="32"/>
      <c r="P39" s="32">
        <f t="shared" si="3"/>
        <v>296.99669999999998</v>
      </c>
      <c r="Q39" s="32">
        <f t="shared" si="4"/>
        <v>1</v>
      </c>
      <c r="R39" s="32">
        <f t="shared" ca="1" si="5"/>
        <v>0</v>
      </c>
      <c r="S39" s="33" t="s">
        <v>21</v>
      </c>
      <c r="T39" s="34">
        <f t="shared" si="6"/>
        <v>0</v>
      </c>
      <c r="U39" s="34">
        <f t="shared" ca="1" si="7"/>
        <v>0</v>
      </c>
      <c r="V39" s="34">
        <f>-SUMPRODUCT((S$6:S38=S39)*(X$6:X38=X39))</f>
        <v>0</v>
      </c>
      <c r="W39" s="34">
        <f>-SUMPRODUCT((S$6:S38=S39)*(X$6:X38=X39)*(B$6:B38&lt;&gt;"NS"))</f>
        <v>0</v>
      </c>
      <c r="X39" s="35">
        <f t="shared" si="8"/>
        <v>297.29700000000003</v>
      </c>
      <c r="Y39" s="29">
        <v>297</v>
      </c>
      <c r="Z39" s="29"/>
      <c r="AA39" s="52"/>
      <c r="AB39" s="52"/>
      <c r="AC39" s="52"/>
      <c r="AD39" s="52"/>
      <c r="AF39" s="36">
        <v>0</v>
      </c>
      <c r="AG39" s="36">
        <v>0</v>
      </c>
      <c r="AH39" s="36">
        <v>0</v>
      </c>
      <c r="AI39" s="36">
        <v>0</v>
      </c>
      <c r="AJ39" s="37">
        <v>1</v>
      </c>
      <c r="AK39" s="38">
        <v>297.29410000000001</v>
      </c>
      <c r="AL39" s="39">
        <v>297</v>
      </c>
      <c r="AM39" s="32">
        <v>594</v>
      </c>
      <c r="AN39" s="39"/>
      <c r="AO39" s="39"/>
      <c r="AP39" s="39"/>
      <c r="AQ39" s="50"/>
      <c r="AS39" s="1"/>
    </row>
    <row r="40" spans="1:45" s="26" customFormat="1">
      <c r="A40" s="1">
        <v>33</v>
      </c>
      <c r="B40" s="1">
        <v>31</v>
      </c>
      <c r="C40" s="40">
        <f t="shared" si="1"/>
        <v>33</v>
      </c>
      <c r="D40" s="40">
        <f t="shared" si="1"/>
        <v>31</v>
      </c>
      <c r="E40" s="1" t="s">
        <v>426</v>
      </c>
      <c r="F40" s="29" t="s">
        <v>19</v>
      </c>
      <c r="G40" s="29"/>
      <c r="H40" s="29"/>
      <c r="I40" s="52"/>
      <c r="J40" s="52">
        <v>295</v>
      </c>
      <c r="K40" s="52"/>
      <c r="L40" s="52"/>
      <c r="M40" s="32">
        <f t="shared" si="2"/>
        <v>295</v>
      </c>
      <c r="N40" s="32" t="s">
        <v>1330</v>
      </c>
      <c r="O40" s="32"/>
      <c r="P40" s="32">
        <f t="shared" si="3"/>
        <v>294.9966</v>
      </c>
      <c r="Q40" s="32">
        <f t="shared" si="4"/>
        <v>1</v>
      </c>
      <c r="R40" s="32">
        <f t="shared" ca="1" si="5"/>
        <v>0</v>
      </c>
      <c r="S40" s="33" t="s">
        <v>21</v>
      </c>
      <c r="T40" s="34">
        <f t="shared" si="6"/>
        <v>0</v>
      </c>
      <c r="U40" s="34">
        <f t="shared" ca="1" si="7"/>
        <v>0</v>
      </c>
      <c r="V40" s="34">
        <f>-SUMPRODUCT((S$6:S39=S40)*(X$6:X39=X40))</f>
        <v>0</v>
      </c>
      <c r="W40" s="34">
        <f>-SUMPRODUCT((S$6:S39=S40)*(X$6:X39=X40)*(B$6:B39&lt;&gt;"NS"))</f>
        <v>0</v>
      </c>
      <c r="X40" s="35">
        <f t="shared" si="8"/>
        <v>295.29500000000002</v>
      </c>
      <c r="Y40" s="52">
        <v>295</v>
      </c>
      <c r="Z40" s="29"/>
      <c r="AA40" s="29"/>
      <c r="AB40" s="52"/>
      <c r="AC40" s="52"/>
      <c r="AD40" s="52"/>
      <c r="AF40" s="36">
        <v>0</v>
      </c>
      <c r="AG40" s="36">
        <v>0</v>
      </c>
      <c r="AH40" s="36">
        <v>0</v>
      </c>
      <c r="AI40" s="36">
        <v>0</v>
      </c>
      <c r="AJ40" s="37">
        <v>1</v>
      </c>
      <c r="AK40" s="38">
        <v>295.2919</v>
      </c>
      <c r="AL40" s="39">
        <v>295</v>
      </c>
      <c r="AM40" s="32">
        <v>590</v>
      </c>
      <c r="AN40" s="39"/>
      <c r="AO40" s="39"/>
      <c r="AP40" s="39"/>
      <c r="AQ40" s="50"/>
      <c r="AS40" s="1"/>
    </row>
    <row r="41" spans="1:45" s="26" customFormat="1">
      <c r="A41" s="1">
        <v>34</v>
      </c>
      <c r="B41" s="1" t="s">
        <v>111</v>
      </c>
      <c r="C41" s="40" t="str">
        <f t="shared" si="1"/>
        <v xml:space="preserve">=34 </v>
      </c>
      <c r="D41" s="40" t="str">
        <f t="shared" si="1"/>
        <v>NS</v>
      </c>
      <c r="E41" s="1" t="s">
        <v>427</v>
      </c>
      <c r="F41" s="29" t="s">
        <v>201</v>
      </c>
      <c r="G41" s="29"/>
      <c r="H41" s="29">
        <v>294</v>
      </c>
      <c r="I41" s="52"/>
      <c r="J41" s="52"/>
      <c r="K41" s="52"/>
      <c r="L41" s="52"/>
      <c r="M41" s="32">
        <f t="shared" si="2"/>
        <v>294</v>
      </c>
      <c r="N41" s="32" t="s">
        <v>1331</v>
      </c>
      <c r="O41" s="32"/>
      <c r="P41" s="32">
        <f t="shared" si="3"/>
        <v>293.99650000000003</v>
      </c>
      <c r="Q41" s="32">
        <f t="shared" si="4"/>
        <v>1</v>
      </c>
      <c r="R41" s="32">
        <f t="shared" ca="1" si="5"/>
        <v>0</v>
      </c>
      <c r="S41" s="33" t="s">
        <v>21</v>
      </c>
      <c r="T41" s="34">
        <f t="shared" si="6"/>
        <v>0</v>
      </c>
      <c r="U41" s="34">
        <f t="shared" ca="1" si="7"/>
        <v>0</v>
      </c>
      <c r="V41" s="34">
        <f>-SUMPRODUCT((S$6:S40=S41)*(X$6:X40=X41))</f>
        <v>0</v>
      </c>
      <c r="W41" s="34">
        <f>-SUMPRODUCT((S$6:S40=S41)*(X$6:X40=X41)*(B$6:B40&lt;&gt;"NS"))</f>
        <v>0</v>
      </c>
      <c r="X41" s="35">
        <f t="shared" si="8"/>
        <v>294.29399999999998</v>
      </c>
      <c r="Y41" s="29">
        <v>294</v>
      </c>
      <c r="Z41" s="29"/>
      <c r="AA41" s="52"/>
      <c r="AB41" s="52"/>
      <c r="AC41" s="52"/>
      <c r="AD41" s="52"/>
      <c r="AF41" s="36">
        <v>0</v>
      </c>
      <c r="AG41" s="36">
        <v>0</v>
      </c>
      <c r="AH41" s="36">
        <v>0</v>
      </c>
      <c r="AI41" s="36">
        <v>0</v>
      </c>
      <c r="AJ41" s="37">
        <v>1</v>
      </c>
      <c r="AK41" s="38">
        <v>294.29079999999999</v>
      </c>
      <c r="AL41" s="39">
        <v>294</v>
      </c>
      <c r="AM41" s="32">
        <v>0</v>
      </c>
      <c r="AN41" s="39"/>
      <c r="AO41" s="39"/>
      <c r="AP41" s="39"/>
      <c r="AQ41" s="50"/>
      <c r="AS41" s="1"/>
    </row>
    <row r="42" spans="1:45" s="26" customFormat="1">
      <c r="A42" s="1">
        <v>35</v>
      </c>
      <c r="B42" s="1">
        <v>32</v>
      </c>
      <c r="C42" s="40" t="str">
        <f t="shared" si="1"/>
        <v xml:space="preserve">=34 </v>
      </c>
      <c r="D42" s="40">
        <f t="shared" si="1"/>
        <v>32</v>
      </c>
      <c r="E42" s="1" t="s">
        <v>428</v>
      </c>
      <c r="F42" s="29" t="s">
        <v>57</v>
      </c>
      <c r="G42" s="29"/>
      <c r="H42" s="29"/>
      <c r="I42" s="52">
        <v>294</v>
      </c>
      <c r="J42" s="52"/>
      <c r="K42" s="52"/>
      <c r="L42" s="52"/>
      <c r="M42" s="32">
        <f t="shared" si="2"/>
        <v>294</v>
      </c>
      <c r="N42" s="32" t="s">
        <v>1330</v>
      </c>
      <c r="O42" s="32"/>
      <c r="P42" s="32">
        <f t="shared" si="3"/>
        <v>293.99639999999999</v>
      </c>
      <c r="Q42" s="32">
        <f t="shared" si="4"/>
        <v>1</v>
      </c>
      <c r="R42" s="32">
        <f t="shared" ca="1" si="5"/>
        <v>0</v>
      </c>
      <c r="S42" s="33" t="s">
        <v>21</v>
      </c>
      <c r="T42" s="34">
        <f t="shared" si="6"/>
        <v>0</v>
      </c>
      <c r="U42" s="34">
        <f t="shared" ca="1" si="7"/>
        <v>0</v>
      </c>
      <c r="V42" s="34">
        <f>-SUMPRODUCT((S$6:S41=S42)*(X$6:X41=X42))</f>
        <v>-1</v>
      </c>
      <c r="W42" s="34">
        <f>-SUMPRODUCT((S$6:S41=S42)*(X$6:X41=X42)*(B$6:B41&lt;&gt;"NS"))</f>
        <v>0</v>
      </c>
      <c r="X42" s="35">
        <f t="shared" si="8"/>
        <v>294.29399999999998</v>
      </c>
      <c r="Y42" s="52">
        <v>294</v>
      </c>
      <c r="Z42" s="29"/>
      <c r="AA42" s="29"/>
      <c r="AB42" s="52"/>
      <c r="AC42" s="52"/>
      <c r="AD42" s="52"/>
      <c r="AF42" s="36">
        <v>0</v>
      </c>
      <c r="AG42" s="36">
        <v>0</v>
      </c>
      <c r="AH42" s="36">
        <v>0</v>
      </c>
      <c r="AI42" s="36">
        <v>0</v>
      </c>
      <c r="AJ42" s="37">
        <v>1</v>
      </c>
      <c r="AK42" s="38">
        <v>294.29069999999996</v>
      </c>
      <c r="AL42" s="39">
        <v>294</v>
      </c>
      <c r="AM42" s="32">
        <v>588</v>
      </c>
      <c r="AN42" s="39"/>
      <c r="AO42" s="39"/>
      <c r="AP42" s="39"/>
      <c r="AQ42" s="50"/>
      <c r="AS42" s="1"/>
    </row>
    <row r="43" spans="1:45" s="26" customFormat="1">
      <c r="A43" s="1">
        <v>36</v>
      </c>
      <c r="B43" s="1">
        <v>33</v>
      </c>
      <c r="C43" s="40">
        <f t="shared" si="1"/>
        <v>36</v>
      </c>
      <c r="D43" s="40">
        <f t="shared" si="1"/>
        <v>33</v>
      </c>
      <c r="E43" s="1" t="s">
        <v>429</v>
      </c>
      <c r="F43" s="29" t="s">
        <v>50</v>
      </c>
      <c r="G43" s="29"/>
      <c r="H43" s="29"/>
      <c r="I43" s="52">
        <v>291</v>
      </c>
      <c r="J43" s="52"/>
      <c r="K43" s="52"/>
      <c r="L43" s="52"/>
      <c r="M43" s="32">
        <f t="shared" si="2"/>
        <v>291</v>
      </c>
      <c r="N43" s="32" t="s">
        <v>1330</v>
      </c>
      <c r="O43" s="32"/>
      <c r="P43" s="32">
        <f t="shared" si="3"/>
        <v>290.99630000000002</v>
      </c>
      <c r="Q43" s="32">
        <f t="shared" si="4"/>
        <v>1</v>
      </c>
      <c r="R43" s="32">
        <f t="shared" ca="1" si="5"/>
        <v>0</v>
      </c>
      <c r="S43" s="33" t="s">
        <v>21</v>
      </c>
      <c r="T43" s="34">
        <f t="shared" si="6"/>
        <v>0</v>
      </c>
      <c r="U43" s="34">
        <f t="shared" ca="1" si="7"/>
        <v>0</v>
      </c>
      <c r="V43" s="34">
        <f>-SUMPRODUCT((S$6:S42=S43)*(X$6:X42=X43))</f>
        <v>0</v>
      </c>
      <c r="W43" s="34">
        <f>-SUMPRODUCT((S$6:S42=S43)*(X$6:X42=X43)*(B$6:B42&lt;&gt;"NS"))</f>
        <v>0</v>
      </c>
      <c r="X43" s="35">
        <f t="shared" si="8"/>
        <v>291.291</v>
      </c>
      <c r="Y43" s="52">
        <v>291</v>
      </c>
      <c r="Z43" s="29"/>
      <c r="AA43" s="29"/>
      <c r="AB43" s="52"/>
      <c r="AC43" s="52"/>
      <c r="AD43" s="52"/>
      <c r="AF43" s="36">
        <v>0</v>
      </c>
      <c r="AG43" s="36">
        <v>0</v>
      </c>
      <c r="AH43" s="36">
        <v>0</v>
      </c>
      <c r="AI43" s="36">
        <v>0</v>
      </c>
      <c r="AJ43" s="37">
        <v>1</v>
      </c>
      <c r="AK43" s="38">
        <v>291.2876</v>
      </c>
      <c r="AL43" s="39">
        <v>291</v>
      </c>
      <c r="AM43" s="32">
        <v>582</v>
      </c>
      <c r="AN43" s="39"/>
      <c r="AO43" s="39"/>
      <c r="AP43" s="39"/>
      <c r="AQ43" s="50"/>
      <c r="AS43" s="1"/>
    </row>
    <row r="44" spans="1:45" s="26" customFormat="1">
      <c r="A44" s="1">
        <v>37</v>
      </c>
      <c r="B44" s="1">
        <v>34</v>
      </c>
      <c r="C44" s="40">
        <f t="shared" si="1"/>
        <v>37</v>
      </c>
      <c r="D44" s="40">
        <f t="shared" si="1"/>
        <v>34</v>
      </c>
      <c r="E44" s="1" t="s">
        <v>430</v>
      </c>
      <c r="F44" s="29" t="s">
        <v>29</v>
      </c>
      <c r="G44" s="29">
        <v>290</v>
      </c>
      <c r="H44" s="29"/>
      <c r="I44" s="52"/>
      <c r="J44" s="52"/>
      <c r="K44" s="52"/>
      <c r="L44" s="52"/>
      <c r="M44" s="32">
        <f t="shared" si="2"/>
        <v>290</v>
      </c>
      <c r="N44" s="32" t="s">
        <v>1330</v>
      </c>
      <c r="O44" s="32"/>
      <c r="P44" s="32">
        <f t="shared" si="3"/>
        <v>289.99619999999999</v>
      </c>
      <c r="Q44" s="32">
        <f t="shared" si="4"/>
        <v>1</v>
      </c>
      <c r="R44" s="32">
        <f t="shared" ca="1" si="5"/>
        <v>0</v>
      </c>
      <c r="S44" s="33" t="s">
        <v>21</v>
      </c>
      <c r="T44" s="34">
        <f t="shared" si="6"/>
        <v>0</v>
      </c>
      <c r="U44" s="34">
        <f t="shared" ca="1" si="7"/>
        <v>0</v>
      </c>
      <c r="V44" s="34">
        <f>-SUMPRODUCT((S$6:S43=S44)*(X$6:X43=X44))</f>
        <v>0</v>
      </c>
      <c r="W44" s="34">
        <f>-SUMPRODUCT((S$6:S43=S44)*(X$6:X43=X44)*(B$6:B43&lt;&gt;"NS"))</f>
        <v>0</v>
      </c>
      <c r="X44" s="35">
        <f t="shared" si="8"/>
        <v>290.29000000000002</v>
      </c>
      <c r="Y44" s="29">
        <v>290</v>
      </c>
      <c r="Z44" s="29"/>
      <c r="AA44" s="52"/>
      <c r="AB44" s="52"/>
      <c r="AC44" s="52"/>
      <c r="AD44" s="52"/>
      <c r="AF44" s="36">
        <v>0</v>
      </c>
      <c r="AG44" s="36">
        <v>0</v>
      </c>
      <c r="AH44" s="36">
        <v>0</v>
      </c>
      <c r="AI44" s="36">
        <v>0</v>
      </c>
      <c r="AJ44" s="37">
        <v>1</v>
      </c>
      <c r="AK44" s="38">
        <v>290.28650000000005</v>
      </c>
      <c r="AL44" s="39">
        <v>290</v>
      </c>
      <c r="AM44" s="32">
        <v>580</v>
      </c>
      <c r="AN44" s="39"/>
      <c r="AO44" s="39"/>
      <c r="AP44" s="39"/>
      <c r="AQ44" s="50"/>
      <c r="AS44" s="1"/>
    </row>
    <row r="45" spans="1:45" s="26" customFormat="1">
      <c r="A45" s="1">
        <v>38</v>
      </c>
      <c r="B45" s="1">
        <v>35</v>
      </c>
      <c r="C45" s="40" t="str">
        <f t="shared" si="1"/>
        <v xml:space="preserve">=38 </v>
      </c>
      <c r="D45" s="40" t="str">
        <f t="shared" si="1"/>
        <v xml:space="preserve">=35 </v>
      </c>
      <c r="E45" s="1" t="s">
        <v>431</v>
      </c>
      <c r="F45" s="29" t="s">
        <v>53</v>
      </c>
      <c r="G45" s="29"/>
      <c r="H45" s="29">
        <v>281</v>
      </c>
      <c r="I45" s="52"/>
      <c r="J45" s="52"/>
      <c r="K45" s="52"/>
      <c r="L45" s="52"/>
      <c r="M45" s="32">
        <f t="shared" si="2"/>
        <v>281</v>
      </c>
      <c r="N45" s="32" t="s">
        <v>1330</v>
      </c>
      <c r="O45" s="32"/>
      <c r="P45" s="32">
        <f t="shared" si="3"/>
        <v>280.99610000000001</v>
      </c>
      <c r="Q45" s="32">
        <f t="shared" si="4"/>
        <v>1</v>
      </c>
      <c r="R45" s="32">
        <f t="shared" ca="1" si="5"/>
        <v>0</v>
      </c>
      <c r="S45" s="33" t="s">
        <v>21</v>
      </c>
      <c r="T45" s="34">
        <f t="shared" si="6"/>
        <v>0</v>
      </c>
      <c r="U45" s="34">
        <f t="shared" ca="1" si="7"/>
        <v>0</v>
      </c>
      <c r="V45" s="34">
        <f>-SUMPRODUCT((S$6:S44=S45)*(X$6:X44=X45))</f>
        <v>0</v>
      </c>
      <c r="W45" s="34">
        <f>-SUMPRODUCT((S$6:S44=S45)*(X$6:X44=X45)*(B$6:B44&lt;&gt;"NS"))</f>
        <v>0</v>
      </c>
      <c r="X45" s="35">
        <f t="shared" si="8"/>
        <v>281.28100000000001</v>
      </c>
      <c r="Y45" s="29">
        <v>281</v>
      </c>
      <c r="Z45" s="29"/>
      <c r="AA45" s="52"/>
      <c r="AB45" s="52"/>
      <c r="AC45" s="52"/>
      <c r="AD45" s="52"/>
      <c r="AF45" s="36">
        <v>0</v>
      </c>
      <c r="AG45" s="36">
        <v>0</v>
      </c>
      <c r="AH45" s="36">
        <v>0</v>
      </c>
      <c r="AI45" s="36">
        <v>0</v>
      </c>
      <c r="AJ45" s="37">
        <v>1</v>
      </c>
      <c r="AK45" s="38">
        <v>281.2774</v>
      </c>
      <c r="AL45" s="39">
        <v>281</v>
      </c>
      <c r="AM45" s="32">
        <v>562</v>
      </c>
      <c r="AN45" s="39"/>
      <c r="AO45" s="39"/>
      <c r="AP45" s="39"/>
      <c r="AQ45" s="50"/>
      <c r="AS45" s="1"/>
    </row>
    <row r="46" spans="1:45" s="26" customFormat="1">
      <c r="A46" s="1">
        <v>39</v>
      </c>
      <c r="B46" s="1">
        <v>36</v>
      </c>
      <c r="C46" s="40" t="str">
        <f t="shared" si="1"/>
        <v xml:space="preserve">=38 </v>
      </c>
      <c r="D46" s="40" t="str">
        <f t="shared" si="1"/>
        <v xml:space="preserve">=35 </v>
      </c>
      <c r="E46" s="1" t="s">
        <v>432</v>
      </c>
      <c r="F46" s="29" t="s">
        <v>50</v>
      </c>
      <c r="G46" s="29"/>
      <c r="H46" s="29"/>
      <c r="I46" s="52">
        <v>281</v>
      </c>
      <c r="J46" s="52"/>
      <c r="K46" s="52"/>
      <c r="L46" s="52"/>
      <c r="M46" s="32">
        <f t="shared" si="2"/>
        <v>281</v>
      </c>
      <c r="N46" s="32" t="s">
        <v>1330</v>
      </c>
      <c r="O46" s="32"/>
      <c r="P46" s="32">
        <f t="shared" si="3"/>
        <v>280.99599999999998</v>
      </c>
      <c r="Q46" s="32">
        <f t="shared" si="4"/>
        <v>1</v>
      </c>
      <c r="R46" s="32">
        <f t="shared" ca="1" si="5"/>
        <v>0</v>
      </c>
      <c r="S46" s="33" t="s">
        <v>21</v>
      </c>
      <c r="T46" s="34">
        <f t="shared" si="6"/>
        <v>0</v>
      </c>
      <c r="U46" s="34">
        <f t="shared" ca="1" si="7"/>
        <v>0</v>
      </c>
      <c r="V46" s="34">
        <f>-SUMPRODUCT((S$6:S45=S46)*(X$6:X45=X46))</f>
        <v>-1</v>
      </c>
      <c r="W46" s="34">
        <f>-SUMPRODUCT((S$6:S45=S46)*(X$6:X45=X46)*(B$6:B45&lt;&gt;"NS"))</f>
        <v>-1</v>
      </c>
      <c r="X46" s="35">
        <f t="shared" si="8"/>
        <v>281.28100000000001</v>
      </c>
      <c r="Y46" s="52">
        <v>281</v>
      </c>
      <c r="Z46" s="29"/>
      <c r="AA46" s="29"/>
      <c r="AB46" s="52"/>
      <c r="AC46" s="52"/>
      <c r="AD46" s="52"/>
      <c r="AF46" s="36">
        <v>0</v>
      </c>
      <c r="AG46" s="36">
        <v>0</v>
      </c>
      <c r="AH46" s="36">
        <v>0</v>
      </c>
      <c r="AI46" s="36">
        <v>0</v>
      </c>
      <c r="AJ46" s="37">
        <v>1</v>
      </c>
      <c r="AK46" s="38">
        <v>281.27730000000003</v>
      </c>
      <c r="AL46" s="39">
        <v>281</v>
      </c>
      <c r="AM46" s="32">
        <v>562</v>
      </c>
      <c r="AN46" s="39"/>
      <c r="AO46" s="39"/>
      <c r="AP46" s="39"/>
      <c r="AQ46" s="50"/>
      <c r="AS46" s="1"/>
    </row>
    <row r="47" spans="1:45" s="26" customFormat="1">
      <c r="A47" s="1">
        <v>40</v>
      </c>
      <c r="B47" s="1">
        <v>37</v>
      </c>
      <c r="C47" s="40">
        <f t="shared" si="1"/>
        <v>40</v>
      </c>
      <c r="D47" s="40">
        <f t="shared" si="1"/>
        <v>37</v>
      </c>
      <c r="E47" s="1" t="s">
        <v>74</v>
      </c>
      <c r="F47" s="29" t="s">
        <v>76</v>
      </c>
      <c r="G47" s="29"/>
      <c r="H47" s="29"/>
      <c r="I47" s="52"/>
      <c r="J47" s="52"/>
      <c r="K47" s="52">
        <v>280</v>
      </c>
      <c r="L47" s="52"/>
      <c r="M47" s="32">
        <f t="shared" si="2"/>
        <v>280</v>
      </c>
      <c r="N47" s="32" t="s">
        <v>1330</v>
      </c>
      <c r="O47" s="32"/>
      <c r="P47" s="32">
        <f t="shared" si="3"/>
        <v>279.99590000000001</v>
      </c>
      <c r="Q47" s="32">
        <f t="shared" si="4"/>
        <v>1</v>
      </c>
      <c r="R47" s="32" t="str">
        <f t="shared" ca="1" si="5"/>
        <v>Y</v>
      </c>
      <c r="S47" s="33" t="s">
        <v>21</v>
      </c>
      <c r="T47" s="34">
        <f t="shared" si="6"/>
        <v>0</v>
      </c>
      <c r="U47" s="34">
        <f t="shared" ca="1" si="7"/>
        <v>280</v>
      </c>
      <c r="V47" s="34">
        <f>-SUMPRODUCT((S$6:S46=S47)*(X$6:X46=X47))</f>
        <v>0</v>
      </c>
      <c r="W47" s="34">
        <f>-SUMPRODUCT((S$6:S46=S47)*(X$6:X46=X47)*(B$6:B46&lt;&gt;"NS"))</f>
        <v>0</v>
      </c>
      <c r="X47" s="35">
        <f t="shared" si="8"/>
        <v>280.27999999999997</v>
      </c>
      <c r="Y47" s="52">
        <v>280</v>
      </c>
      <c r="Z47" s="29"/>
      <c r="AA47" s="29"/>
      <c r="AB47" s="52"/>
      <c r="AC47" s="52"/>
      <c r="AD47" s="52"/>
      <c r="AF47" s="36"/>
      <c r="AG47" s="36"/>
      <c r="AH47" s="36"/>
      <c r="AI47" s="36"/>
      <c r="AJ47" s="37"/>
      <c r="AK47" s="38"/>
      <c r="AL47" s="39"/>
      <c r="AM47" s="32"/>
      <c r="AN47" s="39"/>
      <c r="AO47" s="39"/>
      <c r="AP47" s="39"/>
      <c r="AQ47" s="50"/>
      <c r="AS47" s="1"/>
    </row>
    <row r="48" spans="1:45" s="26" customFormat="1">
      <c r="A48" s="1">
        <v>41</v>
      </c>
      <c r="B48" s="1">
        <v>38</v>
      </c>
      <c r="C48" s="40">
        <f t="shared" si="1"/>
        <v>41</v>
      </c>
      <c r="D48" s="40">
        <f t="shared" si="1"/>
        <v>38</v>
      </c>
      <c r="E48" s="1" t="s">
        <v>433</v>
      </c>
      <c r="F48" s="29" t="s">
        <v>412</v>
      </c>
      <c r="G48" s="29">
        <v>275</v>
      </c>
      <c r="H48" s="29"/>
      <c r="I48" s="52"/>
      <c r="J48" s="52"/>
      <c r="K48" s="52"/>
      <c r="L48" s="52"/>
      <c r="M48" s="32">
        <f t="shared" si="2"/>
        <v>275</v>
      </c>
      <c r="N48" s="32" t="s">
        <v>1330</v>
      </c>
      <c r="O48" s="32"/>
      <c r="P48" s="32">
        <f t="shared" si="3"/>
        <v>274.99579999999997</v>
      </c>
      <c r="Q48" s="32">
        <f t="shared" si="4"/>
        <v>1</v>
      </c>
      <c r="R48" s="32">
        <f t="shared" ca="1" si="5"/>
        <v>0</v>
      </c>
      <c r="S48" s="33" t="s">
        <v>21</v>
      </c>
      <c r="T48" s="34">
        <f t="shared" si="6"/>
        <v>0</v>
      </c>
      <c r="U48" s="34">
        <f t="shared" ca="1" si="7"/>
        <v>0</v>
      </c>
      <c r="V48" s="34">
        <f>-SUMPRODUCT((S$6:S47=S48)*(X$6:X47=X48))</f>
        <v>0</v>
      </c>
      <c r="W48" s="34">
        <f>-SUMPRODUCT((S$6:S47=S48)*(X$6:X47=X48)*(B$6:B47&lt;&gt;"NS"))</f>
        <v>0</v>
      </c>
      <c r="X48" s="35">
        <f t="shared" si="8"/>
        <v>275.27499999999998</v>
      </c>
      <c r="Y48" s="29">
        <v>275</v>
      </c>
      <c r="Z48" s="29"/>
      <c r="AA48" s="52"/>
      <c r="AB48" s="52"/>
      <c r="AC48" s="52"/>
      <c r="AD48" s="52"/>
      <c r="AF48" s="36">
        <v>0</v>
      </c>
      <c r="AG48" s="36">
        <v>0</v>
      </c>
      <c r="AH48" s="36">
        <v>0</v>
      </c>
      <c r="AI48" s="36">
        <v>0</v>
      </c>
      <c r="AJ48" s="37">
        <v>1</v>
      </c>
      <c r="AK48" s="38">
        <v>275.27119999999996</v>
      </c>
      <c r="AL48" s="39">
        <v>275</v>
      </c>
      <c r="AM48" s="32">
        <v>550</v>
      </c>
      <c r="AN48" s="39"/>
      <c r="AO48" s="39"/>
      <c r="AP48" s="39"/>
      <c r="AQ48" s="50"/>
      <c r="AS48" s="1"/>
    </row>
    <row r="49" spans="1:45" s="26" customFormat="1">
      <c r="A49" s="1">
        <v>42</v>
      </c>
      <c r="B49" s="1">
        <v>39</v>
      </c>
      <c r="C49" s="40">
        <f t="shared" si="1"/>
        <v>42</v>
      </c>
      <c r="D49" s="40">
        <f t="shared" si="1"/>
        <v>39</v>
      </c>
      <c r="E49" s="1" t="s">
        <v>154</v>
      </c>
      <c r="F49" s="29" t="s">
        <v>76</v>
      </c>
      <c r="G49" s="29"/>
      <c r="H49" s="29"/>
      <c r="I49" s="52"/>
      <c r="J49" s="52"/>
      <c r="K49" s="52">
        <v>244</v>
      </c>
      <c r="L49" s="52"/>
      <c r="M49" s="32">
        <f t="shared" si="2"/>
        <v>244</v>
      </c>
      <c r="N49" s="32" t="s">
        <v>1330</v>
      </c>
      <c r="O49" s="32"/>
      <c r="P49" s="32">
        <f t="shared" si="3"/>
        <v>243.9957</v>
      </c>
      <c r="Q49" s="32">
        <f t="shared" si="4"/>
        <v>1</v>
      </c>
      <c r="R49" s="32" t="str">
        <f t="shared" ca="1" si="5"/>
        <v>Y</v>
      </c>
      <c r="S49" s="33" t="s">
        <v>21</v>
      </c>
      <c r="T49" s="34">
        <f t="shared" si="6"/>
        <v>0</v>
      </c>
      <c r="U49" s="34">
        <f t="shared" ca="1" si="7"/>
        <v>244</v>
      </c>
      <c r="V49" s="34">
        <f>-SUMPRODUCT((S$6:S48=S49)*(X$6:X48=X49))</f>
        <v>0</v>
      </c>
      <c r="W49" s="34">
        <f>-SUMPRODUCT((S$6:S48=S49)*(X$6:X48=X49)*(B$6:B48&lt;&gt;"NS"))</f>
        <v>0</v>
      </c>
      <c r="X49" s="35">
        <f t="shared" si="8"/>
        <v>244.244</v>
      </c>
      <c r="Y49" s="52">
        <v>244</v>
      </c>
      <c r="Z49" s="29"/>
      <c r="AA49" s="29"/>
      <c r="AB49" s="52"/>
      <c r="AC49" s="52"/>
      <c r="AD49" s="52"/>
      <c r="AF49" s="36"/>
      <c r="AG49" s="36"/>
      <c r="AH49" s="36"/>
      <c r="AI49" s="36"/>
      <c r="AJ49" s="37"/>
      <c r="AK49" s="38"/>
      <c r="AL49" s="39"/>
      <c r="AM49" s="32"/>
      <c r="AN49" s="39"/>
      <c r="AO49" s="39"/>
      <c r="AP49" s="39"/>
      <c r="AQ49" s="50"/>
      <c r="AS49" s="1"/>
    </row>
    <row r="50" spans="1:45" s="26" customFormat="1">
      <c r="A50" s="1">
        <v>43</v>
      </c>
      <c r="B50" s="1">
        <v>40</v>
      </c>
      <c r="C50" s="40">
        <f t="shared" si="1"/>
        <v>43</v>
      </c>
      <c r="D50" s="40">
        <f t="shared" si="1"/>
        <v>40</v>
      </c>
      <c r="E50" s="1" t="s">
        <v>434</v>
      </c>
      <c r="F50" s="29" t="s">
        <v>118</v>
      </c>
      <c r="G50" s="29">
        <v>90</v>
      </c>
      <c r="H50" s="29">
        <v>61</v>
      </c>
      <c r="I50" s="52">
        <v>84</v>
      </c>
      <c r="J50" s="52"/>
      <c r="K50" s="52"/>
      <c r="L50" s="52"/>
      <c r="M50" s="32">
        <f t="shared" si="2"/>
        <v>235</v>
      </c>
      <c r="N50" s="32" t="s">
        <v>1330</v>
      </c>
      <c r="O50" s="32"/>
      <c r="P50" s="32">
        <f t="shared" si="3"/>
        <v>234.9956</v>
      </c>
      <c r="Q50" s="32">
        <f t="shared" si="4"/>
        <v>3</v>
      </c>
      <c r="R50" s="32">
        <f t="shared" ca="1" si="5"/>
        <v>0</v>
      </c>
      <c r="S50" s="33" t="s">
        <v>21</v>
      </c>
      <c r="T50" s="34">
        <f t="shared" si="6"/>
        <v>0</v>
      </c>
      <c r="U50" s="34">
        <f t="shared" ca="1" si="7"/>
        <v>0</v>
      </c>
      <c r="V50" s="34">
        <f>-SUMPRODUCT((S$6:S49=S50)*(X$6:X49=X50))</f>
        <v>0</v>
      </c>
      <c r="W50" s="34">
        <f>-SUMPRODUCT((S$6:S49=S50)*(X$6:X49=X50)*(B$6:B49&lt;&gt;"NS"))</f>
        <v>0</v>
      </c>
      <c r="X50" s="35">
        <f t="shared" si="8"/>
        <v>235.09900999999999</v>
      </c>
      <c r="Y50" s="29">
        <v>90</v>
      </c>
      <c r="Z50" s="52">
        <v>84</v>
      </c>
      <c r="AA50" s="29">
        <v>61</v>
      </c>
      <c r="AB50" s="52"/>
      <c r="AC50" s="52"/>
      <c r="AD50" s="52"/>
      <c r="AF50" s="36">
        <v>0</v>
      </c>
      <c r="AG50" s="36">
        <v>0</v>
      </c>
      <c r="AH50" s="36">
        <v>0</v>
      </c>
      <c r="AI50" s="36">
        <v>0</v>
      </c>
      <c r="AJ50" s="37">
        <v>3</v>
      </c>
      <c r="AK50" s="38">
        <v>235.09511000000001</v>
      </c>
      <c r="AL50" s="39">
        <v>90</v>
      </c>
      <c r="AM50" s="32">
        <v>264</v>
      </c>
      <c r="AN50" s="39"/>
      <c r="AO50" s="39"/>
      <c r="AP50" s="39"/>
      <c r="AQ50" s="50"/>
      <c r="AS50" s="1"/>
    </row>
    <row r="51" spans="1:45" s="26" customFormat="1">
      <c r="A51" s="1">
        <v>44</v>
      </c>
      <c r="B51" s="1">
        <v>41</v>
      </c>
      <c r="C51" s="40">
        <f t="shared" si="1"/>
        <v>44</v>
      </c>
      <c r="D51" s="40">
        <f t="shared" si="1"/>
        <v>41</v>
      </c>
      <c r="E51" s="1" t="s">
        <v>420</v>
      </c>
      <c r="F51" s="29" t="s">
        <v>53</v>
      </c>
      <c r="G51" s="29"/>
      <c r="H51" s="29"/>
      <c r="I51" s="52"/>
      <c r="J51" s="52">
        <v>227</v>
      </c>
      <c r="K51" s="52"/>
      <c r="L51" s="52"/>
      <c r="M51" s="32">
        <f t="shared" si="2"/>
        <v>227</v>
      </c>
      <c r="N51" s="32" t="s">
        <v>1330</v>
      </c>
      <c r="O51" s="32"/>
      <c r="P51" s="32">
        <f t="shared" si="3"/>
        <v>226.99549999999999</v>
      </c>
      <c r="Q51" s="32">
        <f t="shared" si="4"/>
        <v>1</v>
      </c>
      <c r="R51" s="32">
        <f t="shared" ca="1" si="5"/>
        <v>0</v>
      </c>
      <c r="S51" s="33" t="s">
        <v>21</v>
      </c>
      <c r="T51" s="34">
        <f t="shared" si="6"/>
        <v>0</v>
      </c>
      <c r="U51" s="34">
        <f t="shared" ca="1" si="7"/>
        <v>0</v>
      </c>
      <c r="V51" s="34">
        <f>-SUMPRODUCT((S$6:S50=S51)*(X$6:X50=X51))</f>
        <v>0</v>
      </c>
      <c r="W51" s="34">
        <f>-SUMPRODUCT((S$6:S50=S51)*(X$6:X50=X51)*(B$6:B50&lt;&gt;"NS"))</f>
        <v>0</v>
      </c>
      <c r="X51" s="35">
        <f t="shared" si="8"/>
        <v>227.227</v>
      </c>
      <c r="Y51" s="52">
        <v>227</v>
      </c>
      <c r="Z51" s="29"/>
      <c r="AA51" s="29"/>
      <c r="AB51" s="52"/>
      <c r="AC51" s="52"/>
      <c r="AD51" s="52"/>
      <c r="AF51" s="36">
        <v>0</v>
      </c>
      <c r="AG51" s="36">
        <v>0</v>
      </c>
      <c r="AH51" s="36">
        <v>0</v>
      </c>
      <c r="AI51" s="36">
        <v>0</v>
      </c>
      <c r="AJ51" s="37">
        <v>1</v>
      </c>
      <c r="AK51" s="38">
        <v>227.22300000000001</v>
      </c>
      <c r="AL51" s="39">
        <v>227</v>
      </c>
      <c r="AM51" s="32">
        <v>454</v>
      </c>
      <c r="AN51" s="39"/>
      <c r="AO51" s="39"/>
      <c r="AP51" s="39"/>
      <c r="AQ51" s="50"/>
      <c r="AS51" s="1"/>
    </row>
    <row r="52" spans="1:45" s="26" customFormat="1">
      <c r="A52" s="1">
        <v>45</v>
      </c>
      <c r="B52" s="1">
        <v>42</v>
      </c>
      <c r="C52" s="40">
        <f t="shared" si="1"/>
        <v>45</v>
      </c>
      <c r="D52" s="40">
        <f t="shared" si="1"/>
        <v>42</v>
      </c>
      <c r="E52" s="1" t="s">
        <v>435</v>
      </c>
      <c r="F52" s="29" t="s">
        <v>38</v>
      </c>
      <c r="G52" s="29"/>
      <c r="H52" s="29">
        <v>211</v>
      </c>
      <c r="I52" s="52"/>
      <c r="J52" s="52"/>
      <c r="K52" s="52"/>
      <c r="L52" s="52"/>
      <c r="M52" s="32">
        <f t="shared" si="2"/>
        <v>211</v>
      </c>
      <c r="N52" s="32" t="s">
        <v>1330</v>
      </c>
      <c r="O52" s="32"/>
      <c r="P52" s="32">
        <f t="shared" si="3"/>
        <v>210.99539999999999</v>
      </c>
      <c r="Q52" s="32">
        <f t="shared" si="4"/>
        <v>1</v>
      </c>
      <c r="R52" s="32">
        <f t="shared" ca="1" si="5"/>
        <v>0</v>
      </c>
      <c r="S52" s="33" t="s">
        <v>21</v>
      </c>
      <c r="T52" s="34">
        <f t="shared" si="6"/>
        <v>0</v>
      </c>
      <c r="U52" s="34">
        <f t="shared" ca="1" si="7"/>
        <v>0</v>
      </c>
      <c r="V52" s="34">
        <f>-SUMPRODUCT((S$6:S51=S52)*(X$6:X51=X52))</f>
        <v>0</v>
      </c>
      <c r="W52" s="34">
        <f>-SUMPRODUCT((S$6:S51=S52)*(X$6:X51=X52)*(B$6:B51&lt;&gt;"NS"))</f>
        <v>0</v>
      </c>
      <c r="X52" s="35">
        <f t="shared" si="8"/>
        <v>211.21100000000001</v>
      </c>
      <c r="Y52" s="29">
        <v>211</v>
      </c>
      <c r="Z52" s="29"/>
      <c r="AA52" s="52"/>
      <c r="AB52" s="52"/>
      <c r="AC52" s="52"/>
      <c r="AD52" s="52"/>
      <c r="AF52" s="36">
        <v>0</v>
      </c>
      <c r="AG52" s="36">
        <v>0</v>
      </c>
      <c r="AH52" s="36">
        <v>0</v>
      </c>
      <c r="AI52" s="36">
        <v>0</v>
      </c>
      <c r="AJ52" s="37">
        <v>1</v>
      </c>
      <c r="AK52" s="38">
        <v>211.20680000000002</v>
      </c>
      <c r="AL52" s="39">
        <v>211</v>
      </c>
      <c r="AM52" s="32">
        <v>422</v>
      </c>
      <c r="AN52" s="39"/>
      <c r="AO52" s="39"/>
      <c r="AP52" s="39"/>
      <c r="AQ52" s="50"/>
      <c r="AS52" s="1"/>
    </row>
    <row r="53" spans="1:45" s="26" customFormat="1">
      <c r="A53" s="1">
        <v>46</v>
      </c>
      <c r="B53" s="1">
        <v>43</v>
      </c>
      <c r="C53" s="40">
        <f t="shared" si="1"/>
        <v>46</v>
      </c>
      <c r="D53" s="40">
        <f t="shared" si="1"/>
        <v>43</v>
      </c>
      <c r="E53" s="1" t="s">
        <v>436</v>
      </c>
      <c r="F53" s="29" t="s">
        <v>53</v>
      </c>
      <c r="G53" s="29">
        <v>201</v>
      </c>
      <c r="H53" s="29"/>
      <c r="I53" s="52"/>
      <c r="J53" s="52"/>
      <c r="K53" s="52"/>
      <c r="L53" s="52"/>
      <c r="M53" s="32">
        <f t="shared" si="2"/>
        <v>201</v>
      </c>
      <c r="N53" s="32" t="s">
        <v>1330</v>
      </c>
      <c r="O53" s="32"/>
      <c r="P53" s="32">
        <f t="shared" si="3"/>
        <v>200.99529999999999</v>
      </c>
      <c r="Q53" s="32">
        <f t="shared" si="4"/>
        <v>1</v>
      </c>
      <c r="R53" s="32">
        <f t="shared" ca="1" si="5"/>
        <v>0</v>
      </c>
      <c r="S53" s="33" t="s">
        <v>21</v>
      </c>
      <c r="T53" s="34">
        <f t="shared" si="6"/>
        <v>0</v>
      </c>
      <c r="U53" s="34">
        <f t="shared" ca="1" si="7"/>
        <v>0</v>
      </c>
      <c r="V53" s="34">
        <f>-SUMPRODUCT((S$6:S52=S53)*(X$6:X52=X53))</f>
        <v>0</v>
      </c>
      <c r="W53" s="34">
        <f>-SUMPRODUCT((S$6:S52=S53)*(X$6:X52=X53)*(B$6:B52&lt;&gt;"NS"))</f>
        <v>0</v>
      </c>
      <c r="X53" s="35">
        <f t="shared" si="8"/>
        <v>201.20099999999999</v>
      </c>
      <c r="Y53" s="29">
        <v>201</v>
      </c>
      <c r="Z53" s="29"/>
      <c r="AA53" s="52"/>
      <c r="AB53" s="52"/>
      <c r="AC53" s="52"/>
      <c r="AD53" s="52"/>
      <c r="AF53" s="36">
        <v>0</v>
      </c>
      <c r="AG53" s="36">
        <v>0</v>
      </c>
      <c r="AH53" s="36">
        <v>0</v>
      </c>
      <c r="AI53" s="36">
        <v>0</v>
      </c>
      <c r="AJ53" s="37">
        <v>1</v>
      </c>
      <c r="AK53" s="38">
        <v>201.19669999999999</v>
      </c>
      <c r="AL53" s="39">
        <v>201</v>
      </c>
      <c r="AM53" s="32">
        <v>402</v>
      </c>
      <c r="AN53" s="39"/>
      <c r="AO53" s="39"/>
      <c r="AP53" s="39"/>
      <c r="AQ53" s="50"/>
      <c r="AS53" s="1"/>
    </row>
    <row r="54" spans="1:45" s="26" customFormat="1">
      <c r="A54" s="1">
        <v>47</v>
      </c>
      <c r="B54" s="1">
        <v>44</v>
      </c>
      <c r="C54" s="40">
        <f t="shared" si="1"/>
        <v>47</v>
      </c>
      <c r="D54" s="40">
        <f t="shared" si="1"/>
        <v>44</v>
      </c>
      <c r="E54" s="1" t="s">
        <v>437</v>
      </c>
      <c r="F54" s="29" t="s">
        <v>38</v>
      </c>
      <c r="G54" s="29">
        <v>89</v>
      </c>
      <c r="H54" s="29">
        <v>110</v>
      </c>
      <c r="I54" s="52"/>
      <c r="J54" s="52"/>
      <c r="K54" s="52"/>
      <c r="L54" s="52"/>
      <c r="M54" s="32">
        <f t="shared" si="2"/>
        <v>199</v>
      </c>
      <c r="N54" s="32" t="s">
        <v>1330</v>
      </c>
      <c r="O54" s="32"/>
      <c r="P54" s="32">
        <f t="shared" si="3"/>
        <v>198.99520000000001</v>
      </c>
      <c r="Q54" s="32">
        <f t="shared" si="4"/>
        <v>2</v>
      </c>
      <c r="R54" s="32">
        <f t="shared" ca="1" si="5"/>
        <v>0</v>
      </c>
      <c r="S54" s="33" t="s">
        <v>21</v>
      </c>
      <c r="T54" s="34">
        <f t="shared" si="6"/>
        <v>0</v>
      </c>
      <c r="U54" s="34">
        <f t="shared" ca="1" si="7"/>
        <v>0</v>
      </c>
      <c r="V54" s="34">
        <f>-SUMPRODUCT((S$6:S53=S54)*(X$6:X53=X54))</f>
        <v>0</v>
      </c>
      <c r="W54" s="34">
        <f>-SUMPRODUCT((S$6:S53=S54)*(X$6:X53=X54)*(B$6:B53&lt;&gt;"NS"))</f>
        <v>0</v>
      </c>
      <c r="X54" s="35">
        <f t="shared" si="8"/>
        <v>199.1189</v>
      </c>
      <c r="Y54" s="29">
        <v>110</v>
      </c>
      <c r="Z54" s="29">
        <v>89</v>
      </c>
      <c r="AA54" s="52"/>
      <c r="AB54" s="52"/>
      <c r="AC54" s="52"/>
      <c r="AD54" s="52"/>
      <c r="AF54" s="36">
        <v>0</v>
      </c>
      <c r="AG54" s="36">
        <v>0</v>
      </c>
      <c r="AH54" s="36">
        <v>0</v>
      </c>
      <c r="AI54" s="36">
        <v>0</v>
      </c>
      <c r="AJ54" s="37">
        <v>2</v>
      </c>
      <c r="AK54" s="38">
        <v>199.11450000000002</v>
      </c>
      <c r="AL54" s="39">
        <v>110</v>
      </c>
      <c r="AM54" s="32">
        <v>309</v>
      </c>
      <c r="AN54" s="39"/>
      <c r="AO54" s="39"/>
      <c r="AP54" s="39"/>
      <c r="AQ54" s="50"/>
      <c r="AS54" s="1"/>
    </row>
    <row r="55" spans="1:45" s="26" customFormat="1">
      <c r="A55" s="1">
        <v>48</v>
      </c>
      <c r="B55" s="1">
        <v>45</v>
      </c>
      <c r="C55" s="40">
        <f t="shared" si="1"/>
        <v>48</v>
      </c>
      <c r="D55" s="40">
        <f t="shared" si="1"/>
        <v>45</v>
      </c>
      <c r="E55" s="1" t="s">
        <v>438</v>
      </c>
      <c r="F55" s="29" t="s">
        <v>47</v>
      </c>
      <c r="G55" s="29"/>
      <c r="H55" s="29">
        <v>169</v>
      </c>
      <c r="I55" s="52"/>
      <c r="J55" s="52"/>
      <c r="K55" s="52"/>
      <c r="L55" s="52"/>
      <c r="M55" s="32">
        <f t="shared" si="2"/>
        <v>169</v>
      </c>
      <c r="N55" s="32" t="s">
        <v>1330</v>
      </c>
      <c r="O55" s="32"/>
      <c r="P55" s="32">
        <f t="shared" si="3"/>
        <v>168.99510000000001</v>
      </c>
      <c r="Q55" s="32">
        <f t="shared" si="4"/>
        <v>1</v>
      </c>
      <c r="R55" s="32">
        <f t="shared" ca="1" si="5"/>
        <v>0</v>
      </c>
      <c r="S55" s="33" t="s">
        <v>21</v>
      </c>
      <c r="T55" s="34">
        <f t="shared" si="6"/>
        <v>0</v>
      </c>
      <c r="U55" s="34">
        <f t="shared" ca="1" si="7"/>
        <v>0</v>
      </c>
      <c r="V55" s="34">
        <f>-SUMPRODUCT((S$6:S54=S55)*(X$6:X54=X55))</f>
        <v>0</v>
      </c>
      <c r="W55" s="34">
        <f>-SUMPRODUCT((S$6:S54=S55)*(X$6:X54=X55)*(B$6:B54&lt;&gt;"NS"))</f>
        <v>0</v>
      </c>
      <c r="X55" s="35">
        <f t="shared" si="8"/>
        <v>169.16900000000001</v>
      </c>
      <c r="Y55" s="29">
        <v>169</v>
      </c>
      <c r="Z55" s="29"/>
      <c r="AA55" s="52"/>
      <c r="AB55" s="52"/>
      <c r="AC55" s="52"/>
      <c r="AD55" s="52"/>
      <c r="AF55" s="36">
        <v>0</v>
      </c>
      <c r="AG55" s="36">
        <v>0</v>
      </c>
      <c r="AH55" s="36">
        <v>0</v>
      </c>
      <c r="AI55" s="36">
        <v>0</v>
      </c>
      <c r="AJ55" s="37">
        <v>1</v>
      </c>
      <c r="AK55" s="38">
        <v>169.1644</v>
      </c>
      <c r="AL55" s="39">
        <v>169</v>
      </c>
      <c r="AM55" s="32">
        <v>338</v>
      </c>
      <c r="AN55" s="39"/>
      <c r="AO55" s="39"/>
      <c r="AP55" s="39"/>
      <c r="AQ55" s="50"/>
      <c r="AS55" s="1"/>
    </row>
    <row r="56" spans="1:45" s="26" customFormat="1">
      <c r="A56" s="1">
        <v>49</v>
      </c>
      <c r="B56" s="1">
        <v>46</v>
      </c>
      <c r="C56" s="40">
        <f t="shared" si="1"/>
        <v>49</v>
      </c>
      <c r="D56" s="40">
        <f t="shared" si="1"/>
        <v>46</v>
      </c>
      <c r="E56" s="1" t="s">
        <v>439</v>
      </c>
      <c r="F56" s="29" t="s">
        <v>66</v>
      </c>
      <c r="G56" s="29">
        <v>168</v>
      </c>
      <c r="H56" s="29"/>
      <c r="I56" s="52"/>
      <c r="J56" s="52"/>
      <c r="K56" s="52"/>
      <c r="L56" s="52"/>
      <c r="M56" s="32">
        <f t="shared" si="2"/>
        <v>168</v>
      </c>
      <c r="N56" s="32" t="s">
        <v>1330</v>
      </c>
      <c r="O56" s="32"/>
      <c r="P56" s="32">
        <f t="shared" si="3"/>
        <v>167.995</v>
      </c>
      <c r="Q56" s="32">
        <f t="shared" si="4"/>
        <v>1</v>
      </c>
      <c r="R56" s="32">
        <f t="shared" ca="1" si="5"/>
        <v>0</v>
      </c>
      <c r="S56" s="33" t="s">
        <v>21</v>
      </c>
      <c r="T56" s="34">
        <f t="shared" si="6"/>
        <v>0</v>
      </c>
      <c r="U56" s="34">
        <f t="shared" ca="1" si="7"/>
        <v>0</v>
      </c>
      <c r="V56" s="34">
        <f>-SUMPRODUCT((S$6:S55=S56)*(X$6:X55=X56))</f>
        <v>0</v>
      </c>
      <c r="W56" s="34">
        <f>-SUMPRODUCT((S$6:S55=S56)*(X$6:X55=X56)*(B$6:B55&lt;&gt;"NS"))</f>
        <v>0</v>
      </c>
      <c r="X56" s="35">
        <f t="shared" si="8"/>
        <v>168.16800000000001</v>
      </c>
      <c r="Y56" s="29">
        <v>168</v>
      </c>
      <c r="Z56" s="29"/>
      <c r="AA56" s="52"/>
      <c r="AB56" s="52"/>
      <c r="AC56" s="52"/>
      <c r="AD56" s="52"/>
      <c r="AF56" s="36">
        <v>0</v>
      </c>
      <c r="AG56" s="36">
        <v>0</v>
      </c>
      <c r="AH56" s="36">
        <v>0</v>
      </c>
      <c r="AI56" s="36">
        <v>0</v>
      </c>
      <c r="AJ56" s="37">
        <v>1</v>
      </c>
      <c r="AK56" s="38">
        <v>168.16329999999999</v>
      </c>
      <c r="AL56" s="39">
        <v>168</v>
      </c>
      <c r="AM56" s="32">
        <v>336</v>
      </c>
      <c r="AN56" s="39"/>
      <c r="AO56" s="39"/>
      <c r="AP56" s="39"/>
      <c r="AQ56" s="50"/>
      <c r="AS56" s="1"/>
    </row>
    <row r="57" spans="1:45" s="26" customFormat="1">
      <c r="A57" s="1">
        <v>50</v>
      </c>
      <c r="B57" s="1">
        <v>47</v>
      </c>
      <c r="C57" s="40">
        <f t="shared" si="1"/>
        <v>50</v>
      </c>
      <c r="D57" s="40">
        <f t="shared" si="1"/>
        <v>47</v>
      </c>
      <c r="E57" s="1" t="s">
        <v>440</v>
      </c>
      <c r="F57" s="29" t="s">
        <v>50</v>
      </c>
      <c r="G57" s="29"/>
      <c r="H57" s="29"/>
      <c r="I57" s="52">
        <v>164</v>
      </c>
      <c r="J57" s="52"/>
      <c r="K57" s="52"/>
      <c r="L57" s="52"/>
      <c r="M57" s="32">
        <f t="shared" si="2"/>
        <v>164</v>
      </c>
      <c r="N57" s="32" t="s">
        <v>1330</v>
      </c>
      <c r="O57" s="32"/>
      <c r="P57" s="32">
        <f t="shared" si="3"/>
        <v>163.9949</v>
      </c>
      <c r="Q57" s="32">
        <f t="shared" si="4"/>
        <v>1</v>
      </c>
      <c r="R57" s="32">
        <f t="shared" ca="1" si="5"/>
        <v>0</v>
      </c>
      <c r="S57" s="33" t="s">
        <v>21</v>
      </c>
      <c r="T57" s="34">
        <f t="shared" si="6"/>
        <v>0</v>
      </c>
      <c r="U57" s="34">
        <f t="shared" ca="1" si="7"/>
        <v>0</v>
      </c>
      <c r="V57" s="34">
        <f>-SUMPRODUCT((S$6:S56=S57)*(X$6:X56=X57))</f>
        <v>0</v>
      </c>
      <c r="W57" s="34">
        <f>-SUMPRODUCT((S$6:S56=S57)*(X$6:X56=X57)*(B$6:B56&lt;&gt;"NS"))</f>
        <v>0</v>
      </c>
      <c r="X57" s="35">
        <f t="shared" si="8"/>
        <v>164.16399999999999</v>
      </c>
      <c r="Y57" s="52">
        <v>164</v>
      </c>
      <c r="Z57" s="29"/>
      <c r="AA57" s="29"/>
      <c r="AB57" s="52"/>
      <c r="AC57" s="52"/>
      <c r="AD57" s="52"/>
      <c r="AF57" s="36">
        <v>0</v>
      </c>
      <c r="AG57" s="36">
        <v>0</v>
      </c>
      <c r="AH57" s="36">
        <v>0</v>
      </c>
      <c r="AI57" s="36">
        <v>0</v>
      </c>
      <c r="AJ57" s="37">
        <v>1</v>
      </c>
      <c r="AK57" s="38">
        <v>164.1592</v>
      </c>
      <c r="AL57" s="39">
        <v>164</v>
      </c>
      <c r="AM57" s="32">
        <v>328</v>
      </c>
      <c r="AN57" s="39"/>
      <c r="AO57" s="39"/>
      <c r="AP57" s="39"/>
      <c r="AQ57" s="50"/>
      <c r="AS57" s="1"/>
    </row>
    <row r="58" spans="1:45" s="26" customFormat="1">
      <c r="A58" s="1">
        <v>51</v>
      </c>
      <c r="B58" s="1">
        <v>48</v>
      </c>
      <c r="C58" s="40">
        <f t="shared" si="1"/>
        <v>51</v>
      </c>
      <c r="D58" s="40">
        <f t="shared" si="1"/>
        <v>48</v>
      </c>
      <c r="E58" s="1" t="s">
        <v>441</v>
      </c>
      <c r="F58" s="29" t="s">
        <v>57</v>
      </c>
      <c r="G58" s="29">
        <v>163</v>
      </c>
      <c r="H58" s="29"/>
      <c r="I58" s="52"/>
      <c r="J58" s="52"/>
      <c r="K58" s="52"/>
      <c r="L58" s="52"/>
      <c r="M58" s="32">
        <f t="shared" si="2"/>
        <v>163</v>
      </c>
      <c r="N58" s="32" t="s">
        <v>1330</v>
      </c>
      <c r="O58" s="32"/>
      <c r="P58" s="32">
        <f t="shared" si="3"/>
        <v>162.9948</v>
      </c>
      <c r="Q58" s="32">
        <f t="shared" si="4"/>
        <v>1</v>
      </c>
      <c r="R58" s="32">
        <f t="shared" ca="1" si="5"/>
        <v>0</v>
      </c>
      <c r="S58" s="33" t="s">
        <v>21</v>
      </c>
      <c r="T58" s="34">
        <f t="shared" si="6"/>
        <v>0</v>
      </c>
      <c r="U58" s="34">
        <f t="shared" ca="1" si="7"/>
        <v>0</v>
      </c>
      <c r="V58" s="34">
        <f>-SUMPRODUCT((S$6:S57=S58)*(X$6:X57=X58))</f>
        <v>0</v>
      </c>
      <c r="W58" s="34">
        <f>-SUMPRODUCT((S$6:S57=S58)*(X$6:X57=X58)*(B$6:B57&lt;&gt;"NS"))</f>
        <v>0</v>
      </c>
      <c r="X58" s="35">
        <f t="shared" si="8"/>
        <v>163.16300000000001</v>
      </c>
      <c r="Y58" s="29">
        <v>163</v>
      </c>
      <c r="Z58" s="29"/>
      <c r="AA58" s="52"/>
      <c r="AB58" s="52"/>
      <c r="AC58" s="52"/>
      <c r="AD58" s="52"/>
      <c r="AF58" s="36">
        <v>0</v>
      </c>
      <c r="AG58" s="36">
        <v>0</v>
      </c>
      <c r="AH58" s="36">
        <v>0</v>
      </c>
      <c r="AI58" s="36">
        <v>0</v>
      </c>
      <c r="AJ58" s="37">
        <v>1</v>
      </c>
      <c r="AK58" s="38">
        <v>163.15810000000002</v>
      </c>
      <c r="AL58" s="39">
        <v>163</v>
      </c>
      <c r="AM58" s="32">
        <v>326</v>
      </c>
      <c r="AN58" s="39"/>
      <c r="AO58" s="39"/>
      <c r="AP58" s="39"/>
      <c r="AQ58" s="50"/>
      <c r="AS58" s="1"/>
    </row>
    <row r="59" spans="1:45" s="26" customFormat="1">
      <c r="A59" s="1">
        <v>52</v>
      </c>
      <c r="B59" s="1">
        <v>49</v>
      </c>
      <c r="C59" s="40">
        <f t="shared" si="1"/>
        <v>52</v>
      </c>
      <c r="D59" s="40">
        <f t="shared" si="1"/>
        <v>49</v>
      </c>
      <c r="E59" s="1" t="s">
        <v>442</v>
      </c>
      <c r="F59" s="29" t="s">
        <v>38</v>
      </c>
      <c r="G59" s="29"/>
      <c r="H59" s="29">
        <v>109</v>
      </c>
      <c r="I59" s="52"/>
      <c r="J59" s="52"/>
      <c r="K59" s="52"/>
      <c r="L59" s="52"/>
      <c r="M59" s="32">
        <f t="shared" si="2"/>
        <v>109</v>
      </c>
      <c r="N59" s="32" t="s">
        <v>1330</v>
      </c>
      <c r="O59" s="32"/>
      <c r="P59" s="32">
        <f t="shared" si="3"/>
        <v>108.99469999999999</v>
      </c>
      <c r="Q59" s="32">
        <f t="shared" si="4"/>
        <v>1</v>
      </c>
      <c r="R59" s="32">
        <f t="shared" ca="1" si="5"/>
        <v>0</v>
      </c>
      <c r="S59" s="33" t="s">
        <v>21</v>
      </c>
      <c r="T59" s="34">
        <f t="shared" si="6"/>
        <v>0</v>
      </c>
      <c r="U59" s="34">
        <f t="shared" ca="1" si="7"/>
        <v>0</v>
      </c>
      <c r="V59" s="34">
        <f>-SUMPRODUCT((S$6:S58=S59)*(X$6:X58=X59))</f>
        <v>0</v>
      </c>
      <c r="W59" s="34">
        <f>-SUMPRODUCT((S$6:S58=S59)*(X$6:X58=X59)*(B$6:B58&lt;&gt;"NS"))</f>
        <v>0</v>
      </c>
      <c r="X59" s="35">
        <f t="shared" si="8"/>
        <v>109.10899999999999</v>
      </c>
      <c r="Y59" s="29">
        <v>109</v>
      </c>
      <c r="Z59" s="29"/>
      <c r="AA59" s="52"/>
      <c r="AB59" s="52"/>
      <c r="AC59" s="52"/>
      <c r="AD59" s="52"/>
      <c r="AF59" s="36">
        <v>0</v>
      </c>
      <c r="AG59" s="36">
        <v>0</v>
      </c>
      <c r="AH59" s="36">
        <v>0</v>
      </c>
      <c r="AI59" s="36">
        <v>0</v>
      </c>
      <c r="AJ59" s="37">
        <v>1</v>
      </c>
      <c r="AK59" s="38">
        <v>109.104</v>
      </c>
      <c r="AL59" s="39">
        <v>109</v>
      </c>
      <c r="AM59" s="32">
        <v>218</v>
      </c>
      <c r="AN59" s="39"/>
      <c r="AO59" s="39"/>
      <c r="AP59" s="39"/>
      <c r="AQ59" s="50"/>
      <c r="AS59" s="1"/>
    </row>
    <row r="60" spans="1:45" s="26" customFormat="1" ht="3" customHeight="1">
      <c r="A60" s="1"/>
      <c r="B60" s="1"/>
      <c r="C60" s="1"/>
      <c r="D60" s="1"/>
      <c r="E60" s="1"/>
      <c r="F60" s="29"/>
      <c r="G60" s="29"/>
      <c r="H60" s="29"/>
      <c r="I60" s="29"/>
      <c r="J60" s="29"/>
      <c r="K60" s="29"/>
      <c r="L60" s="29"/>
      <c r="M60" s="32"/>
      <c r="N60" s="27"/>
      <c r="O60" s="27"/>
      <c r="P60" s="32"/>
      <c r="Q60" s="27"/>
      <c r="R60" s="27"/>
      <c r="T60" s="59"/>
      <c r="U60" s="59"/>
      <c r="V60" s="59"/>
      <c r="W60" s="59"/>
      <c r="X60" s="34"/>
      <c r="Y60" s="29"/>
      <c r="Z60" s="29"/>
      <c r="AA60" s="29"/>
      <c r="AB60" s="29"/>
      <c r="AC60" s="52"/>
      <c r="AD60" s="52"/>
      <c r="AJ60" s="58"/>
      <c r="AK60" s="58"/>
      <c r="AN60" s="39"/>
      <c r="AO60" s="39"/>
      <c r="AP60" s="39"/>
      <c r="AQ60" s="50"/>
      <c r="AS60" s="1"/>
    </row>
    <row r="61" spans="1:45" s="26" customFormat="1">
      <c r="A61" s="1"/>
      <c r="B61" s="1"/>
      <c r="C61" s="1"/>
      <c r="D61" s="1"/>
      <c r="E61" s="1"/>
      <c r="F61" s="29"/>
      <c r="G61" s="29"/>
      <c r="H61" s="29"/>
      <c r="I61" s="29"/>
      <c r="J61" s="29"/>
      <c r="K61" s="29"/>
      <c r="L61" s="29"/>
      <c r="M61" s="32"/>
      <c r="N61" s="27"/>
      <c r="O61" s="27"/>
      <c r="P61" s="32"/>
      <c r="Q61" s="27"/>
      <c r="R61" s="27"/>
      <c r="T61" s="59"/>
      <c r="U61" s="59"/>
      <c r="V61" s="59"/>
      <c r="W61" s="59"/>
      <c r="X61" s="34"/>
      <c r="Y61" s="29"/>
      <c r="Z61" s="29"/>
      <c r="AA61" s="29"/>
      <c r="AB61" s="29"/>
      <c r="AC61" s="52"/>
      <c r="AD61" s="52"/>
      <c r="AJ61" s="58"/>
      <c r="AK61" s="58"/>
      <c r="AN61" s="39"/>
      <c r="AO61" s="39"/>
      <c r="AP61" s="39"/>
      <c r="AQ61" s="50"/>
      <c r="AS61" s="1"/>
    </row>
    <row r="62" spans="1:45" s="26" customFormat="1" ht="15">
      <c r="A62" s="1"/>
      <c r="B62" s="1"/>
      <c r="C62" s="1"/>
      <c r="D62" s="1"/>
      <c r="E62" s="60" t="s">
        <v>31</v>
      </c>
      <c r="F62" s="29"/>
      <c r="G62" s="29"/>
      <c r="H62" s="29"/>
      <c r="I62" s="29"/>
      <c r="J62" s="29"/>
      <c r="K62" s="29"/>
      <c r="L62" s="29"/>
      <c r="M62" s="32"/>
      <c r="N62" s="27"/>
      <c r="O62" s="27"/>
      <c r="P62" s="32"/>
      <c r="Q62" s="27"/>
      <c r="R62" s="27"/>
      <c r="S62" s="52" t="str">
        <f>E62</f>
        <v>M35</v>
      </c>
      <c r="T62" s="59"/>
      <c r="U62" s="59"/>
      <c r="V62" s="59"/>
      <c r="W62" s="59"/>
      <c r="X62" s="34"/>
      <c r="Y62" s="29"/>
      <c r="Z62" s="29"/>
      <c r="AA62" s="29"/>
      <c r="AB62" s="29"/>
      <c r="AC62" s="52"/>
      <c r="AD62" s="52"/>
      <c r="AJ62" s="58"/>
      <c r="AK62" s="58"/>
      <c r="AN62" s="39">
        <v>879</v>
      </c>
      <c r="AO62" s="39">
        <v>856</v>
      </c>
      <c r="AP62" s="39">
        <v>855</v>
      </c>
      <c r="AQ62" s="50"/>
      <c r="AS62" s="1"/>
    </row>
    <row r="63" spans="1:45" s="26" customFormat="1" ht="15">
      <c r="A63" s="1">
        <v>1</v>
      </c>
      <c r="B63" s="1">
        <v>1</v>
      </c>
      <c r="C63" s="1"/>
      <c r="D63" s="1"/>
      <c r="E63" s="61" t="s">
        <v>33</v>
      </c>
      <c r="F63" s="29" t="s">
        <v>29</v>
      </c>
      <c r="G63" s="29">
        <v>300</v>
      </c>
      <c r="H63" s="29"/>
      <c r="I63" s="29">
        <v>297</v>
      </c>
      <c r="J63" s="29"/>
      <c r="K63" s="29">
        <v>296</v>
      </c>
      <c r="L63" s="29"/>
      <c r="M63" s="32">
        <f t="shared" ref="M63:M104" si="9">IFERROR(LARGE(G63:L63,1),0)+IF($F$5&gt;=2,IFERROR(LARGE(G63:L63,2),0),0)+IF($F$5&gt;=3,IFERROR(LARGE(G63:L63,3),0),0)+IF($F$5&gt;=4,IFERROR(LARGE(G63:L63,4),0),0)+IF($F$5&gt;=5,IFERROR(LARGE(G63:L63,5),0),0)+IF($F$5&gt;=6,IFERROR(LARGE(G63:L63,6),0),0)</f>
        <v>893</v>
      </c>
      <c r="N63" s="32" t="s">
        <v>1330</v>
      </c>
      <c r="O63" s="32" t="s">
        <v>443</v>
      </c>
      <c r="P63" s="32">
        <f t="shared" ref="P63:P104" si="10">M63-(ROW(M63)-ROW(M$6))/10000</f>
        <v>892.99429999999995</v>
      </c>
      <c r="Q63" s="32">
        <f t="shared" ref="Q63:Q104" si="11">COUNT(G63:L63)</f>
        <v>3</v>
      </c>
      <c r="R63" s="32">
        <f t="shared" ref="R63:R104" ca="1" si="12">IF(AND(Q63=1,OFFSET(F63,0,R$3)&gt;0),"Y",0)</f>
        <v>0</v>
      </c>
      <c r="S63" s="33" t="s">
        <v>31</v>
      </c>
      <c r="T63" s="34">
        <f t="shared" ref="T63:T104" si="13">1-(S63=S62)</f>
        <v>0</v>
      </c>
      <c r="U63" s="34">
        <f t="shared" ref="U63:U104" ca="1" si="14">OFFSET(F63,0,$R$3)</f>
        <v>296</v>
      </c>
      <c r="V63" s="34">
        <f>-SUMPRODUCT((S$6:S62=S63)*(X$6:X62=X63))</f>
        <v>0</v>
      </c>
      <c r="W63" s="34">
        <f>-SUMPRODUCT((S$6:S62=S63)*(X$6:X62=X63)*(B$6:B62&lt;&gt;"NS"))</f>
        <v>0</v>
      </c>
      <c r="X63" s="35">
        <f t="shared" ref="X63:X104" si="15">M63+SUMPRODUCT(Y$4:AD$4,Y63:AD63)</f>
        <v>893.33266000000003</v>
      </c>
      <c r="Y63" s="29">
        <v>300</v>
      </c>
      <c r="Z63" s="29">
        <v>297</v>
      </c>
      <c r="AA63" s="29">
        <v>296</v>
      </c>
      <c r="AB63" s="29"/>
      <c r="AC63" s="29"/>
      <c r="AD63" s="29"/>
      <c r="AF63" s="36">
        <v>0</v>
      </c>
      <c r="AG63" s="36">
        <v>0</v>
      </c>
      <c r="AH63" s="36">
        <v>0</v>
      </c>
      <c r="AI63" s="36">
        <v>0</v>
      </c>
      <c r="AJ63" s="37">
        <v>2</v>
      </c>
      <c r="AK63" s="38">
        <v>597.32349999999997</v>
      </c>
      <c r="AL63" s="39">
        <v>300</v>
      </c>
      <c r="AM63" s="32">
        <v>897</v>
      </c>
      <c r="AN63" s="39" t="s">
        <v>443</v>
      </c>
      <c r="AO63" s="39" t="s">
        <v>444</v>
      </c>
      <c r="AP63" s="39" t="s">
        <v>445</v>
      </c>
      <c r="AQ63" s="50"/>
      <c r="AS63" s="1"/>
    </row>
    <row r="64" spans="1:45" s="26" customFormat="1" ht="15">
      <c r="A64" s="1">
        <v>2</v>
      </c>
      <c r="B64" s="1">
        <v>2</v>
      </c>
      <c r="C64" s="1"/>
      <c r="D64" s="1"/>
      <c r="E64" s="61" t="s">
        <v>446</v>
      </c>
      <c r="F64" s="29" t="s">
        <v>88</v>
      </c>
      <c r="G64" s="29">
        <v>295</v>
      </c>
      <c r="H64" s="29">
        <v>291</v>
      </c>
      <c r="I64" s="29">
        <v>293</v>
      </c>
      <c r="J64" s="29">
        <v>289</v>
      </c>
      <c r="K64" s="29"/>
      <c r="L64" s="29"/>
      <c r="M64" s="32">
        <f t="shared" si="9"/>
        <v>879</v>
      </c>
      <c r="N64" s="32" t="s">
        <v>1330</v>
      </c>
      <c r="O64" s="32" t="s">
        <v>444</v>
      </c>
      <c r="P64" s="32">
        <f t="shared" si="10"/>
        <v>878.99419999999998</v>
      </c>
      <c r="Q64" s="32">
        <f t="shared" si="11"/>
        <v>4</v>
      </c>
      <c r="R64" s="32">
        <f t="shared" ca="1" si="12"/>
        <v>0</v>
      </c>
      <c r="S64" s="33" t="s">
        <v>31</v>
      </c>
      <c r="T64" s="34">
        <f t="shared" si="13"/>
        <v>0</v>
      </c>
      <c r="U64" s="34">
        <f t="shared" ca="1" si="14"/>
        <v>0</v>
      </c>
      <c r="V64" s="34">
        <f>-SUMPRODUCT((S$6:S63=S64)*(X$6:X63=X64))</f>
        <v>0</v>
      </c>
      <c r="W64" s="34">
        <f>-SUMPRODUCT((S$6:S63=S64)*(X$6:X63=X64)*(B$6:B63&lt;&gt;"NS"))</f>
        <v>0</v>
      </c>
      <c r="X64" s="35">
        <f t="shared" si="15"/>
        <v>879.32721000000004</v>
      </c>
      <c r="Y64" s="29">
        <v>295</v>
      </c>
      <c r="Z64" s="29">
        <v>293</v>
      </c>
      <c r="AA64" s="29">
        <v>291</v>
      </c>
      <c r="AB64" s="29">
        <v>289</v>
      </c>
      <c r="AC64" s="29"/>
      <c r="AD64" s="29"/>
      <c r="AF64" s="36">
        <v>0</v>
      </c>
      <c r="AG64" s="36">
        <v>0</v>
      </c>
      <c r="AH64" s="36">
        <v>0</v>
      </c>
      <c r="AI64" s="36">
        <v>0</v>
      </c>
      <c r="AJ64" s="37">
        <v>4</v>
      </c>
      <c r="AK64" s="38">
        <v>879.32209899999998</v>
      </c>
      <c r="AL64" s="39">
        <v>295</v>
      </c>
      <c r="AM64" s="32">
        <v>883</v>
      </c>
      <c r="AN64" s="39" t="s">
        <v>443</v>
      </c>
      <c r="AO64" s="39" t="s">
        <v>444</v>
      </c>
      <c r="AP64" s="39"/>
      <c r="AQ64" s="50"/>
      <c r="AS64" s="1"/>
    </row>
    <row r="65" spans="1:45" s="26" customFormat="1" ht="15">
      <c r="A65" s="1">
        <v>3</v>
      </c>
      <c r="B65" s="1">
        <v>3</v>
      </c>
      <c r="C65" s="1"/>
      <c r="D65" s="1"/>
      <c r="E65" s="61" t="s">
        <v>41</v>
      </c>
      <c r="F65" s="29" t="s">
        <v>29</v>
      </c>
      <c r="G65" s="29">
        <v>287</v>
      </c>
      <c r="H65" s="29"/>
      <c r="I65" s="29">
        <v>283</v>
      </c>
      <c r="J65" s="29">
        <v>285</v>
      </c>
      <c r="K65" s="29">
        <v>293</v>
      </c>
      <c r="L65" s="29"/>
      <c r="M65" s="32">
        <f t="shared" si="9"/>
        <v>865</v>
      </c>
      <c r="N65" s="32" t="s">
        <v>1330</v>
      </c>
      <c r="O65" s="32" t="s">
        <v>445</v>
      </c>
      <c r="P65" s="32">
        <f t="shared" si="10"/>
        <v>864.9941</v>
      </c>
      <c r="Q65" s="32">
        <f t="shared" si="11"/>
        <v>4</v>
      </c>
      <c r="R65" s="32">
        <f t="shared" ca="1" si="12"/>
        <v>0</v>
      </c>
      <c r="S65" s="33" t="s">
        <v>31</v>
      </c>
      <c r="T65" s="34">
        <f t="shared" si="13"/>
        <v>0</v>
      </c>
      <c r="U65" s="34">
        <f t="shared" ca="1" si="14"/>
        <v>293</v>
      </c>
      <c r="V65" s="34">
        <f>-SUMPRODUCT((S$6:S64=S65)*(X$6:X64=X65))</f>
        <v>0</v>
      </c>
      <c r="W65" s="34">
        <f>-SUMPRODUCT((S$6:S64=S65)*(X$6:X64=X65)*(B$6:B64&lt;&gt;"NS"))</f>
        <v>0</v>
      </c>
      <c r="X65" s="35">
        <f t="shared" si="15"/>
        <v>865.32455000000004</v>
      </c>
      <c r="Y65" s="29">
        <v>293</v>
      </c>
      <c r="Z65" s="29">
        <v>287</v>
      </c>
      <c r="AA65" s="29">
        <v>285</v>
      </c>
      <c r="AB65" s="29">
        <v>283</v>
      </c>
      <c r="AC65" s="29"/>
      <c r="AD65" s="29"/>
      <c r="AF65" s="36">
        <v>0</v>
      </c>
      <c r="AG65" s="36">
        <v>0</v>
      </c>
      <c r="AH65" s="36">
        <v>0</v>
      </c>
      <c r="AI65" s="36">
        <v>0</v>
      </c>
      <c r="AJ65" s="37">
        <v>3</v>
      </c>
      <c r="AK65" s="38">
        <v>855.3127300000001</v>
      </c>
      <c r="AL65" s="39">
        <v>287</v>
      </c>
      <c r="AM65" s="32">
        <v>859</v>
      </c>
      <c r="AN65" s="39"/>
      <c r="AO65" s="39" t="s">
        <v>444</v>
      </c>
      <c r="AP65" s="39" t="s">
        <v>445</v>
      </c>
      <c r="AQ65" s="50"/>
      <c r="AS65" s="1"/>
    </row>
    <row r="66" spans="1:45" s="26" customFormat="1" ht="15">
      <c r="A66" s="1">
        <v>4</v>
      </c>
      <c r="B66" s="1">
        <v>4</v>
      </c>
      <c r="C66" s="1"/>
      <c r="D66" s="1"/>
      <c r="E66" s="61" t="s">
        <v>59</v>
      </c>
      <c r="F66" s="29" t="s">
        <v>61</v>
      </c>
      <c r="G66" s="29">
        <v>285</v>
      </c>
      <c r="H66" s="29">
        <v>279</v>
      </c>
      <c r="I66" s="29"/>
      <c r="J66" s="29">
        <v>292</v>
      </c>
      <c r="K66" s="29">
        <v>287</v>
      </c>
      <c r="L66" s="29"/>
      <c r="M66" s="32">
        <f t="shared" si="9"/>
        <v>864</v>
      </c>
      <c r="N66" s="32" t="s">
        <v>1330</v>
      </c>
      <c r="O66" s="32"/>
      <c r="P66" s="32">
        <f t="shared" si="10"/>
        <v>863.99400000000003</v>
      </c>
      <c r="Q66" s="32">
        <f t="shared" si="11"/>
        <v>4</v>
      </c>
      <c r="R66" s="32">
        <f t="shared" ca="1" si="12"/>
        <v>0</v>
      </c>
      <c r="S66" s="33" t="s">
        <v>31</v>
      </c>
      <c r="T66" s="34">
        <f t="shared" si="13"/>
        <v>0</v>
      </c>
      <c r="U66" s="34">
        <f t="shared" ca="1" si="14"/>
        <v>287</v>
      </c>
      <c r="V66" s="34">
        <f>-SUMPRODUCT((S$6:S65=S66)*(X$6:X65=X66))</f>
        <v>0</v>
      </c>
      <c r="W66" s="34">
        <f>-SUMPRODUCT((S$6:S65=S66)*(X$6:X65=X66)*(B$6:B65&lt;&gt;"NS"))</f>
        <v>0</v>
      </c>
      <c r="X66" s="35">
        <f t="shared" si="15"/>
        <v>864.32354999999995</v>
      </c>
      <c r="Y66" s="29">
        <v>292</v>
      </c>
      <c r="Z66" s="29">
        <v>287</v>
      </c>
      <c r="AA66" s="29">
        <v>285</v>
      </c>
      <c r="AB66" s="29">
        <v>279</v>
      </c>
      <c r="AC66" s="29"/>
      <c r="AD66" s="29"/>
      <c r="AF66" s="36">
        <v>0</v>
      </c>
      <c r="AG66" s="36">
        <v>0</v>
      </c>
      <c r="AH66" s="36">
        <v>0</v>
      </c>
      <c r="AI66" s="36">
        <v>0</v>
      </c>
      <c r="AJ66" s="37">
        <v>3</v>
      </c>
      <c r="AK66" s="38">
        <v>856.31779000000006</v>
      </c>
      <c r="AL66" s="39">
        <v>292</v>
      </c>
      <c r="AM66" s="32">
        <v>869</v>
      </c>
      <c r="AN66" s="39"/>
      <c r="AO66" s="39" t="s">
        <v>444</v>
      </c>
      <c r="AP66" s="39" t="s">
        <v>445</v>
      </c>
      <c r="AQ66" s="50"/>
      <c r="AS66" s="1"/>
    </row>
    <row r="67" spans="1:45" s="26" customFormat="1" ht="15">
      <c r="A67" s="1">
        <v>5</v>
      </c>
      <c r="B67" s="1">
        <v>5</v>
      </c>
      <c r="C67" s="1"/>
      <c r="D67" s="1"/>
      <c r="E67" s="61" t="s">
        <v>55</v>
      </c>
      <c r="F67" s="29" t="s">
        <v>57</v>
      </c>
      <c r="G67" s="29">
        <v>274</v>
      </c>
      <c r="H67" s="29">
        <v>283</v>
      </c>
      <c r="I67" s="29"/>
      <c r="J67" s="29">
        <v>290</v>
      </c>
      <c r="K67" s="29">
        <v>288</v>
      </c>
      <c r="L67" s="29"/>
      <c r="M67" s="32">
        <f t="shared" si="9"/>
        <v>861</v>
      </c>
      <c r="N67" s="32" t="s">
        <v>1330</v>
      </c>
      <c r="O67" s="32"/>
      <c r="P67" s="32">
        <f t="shared" si="10"/>
        <v>860.99390000000005</v>
      </c>
      <c r="Q67" s="32">
        <f t="shared" si="11"/>
        <v>4</v>
      </c>
      <c r="R67" s="32">
        <f t="shared" ca="1" si="12"/>
        <v>0</v>
      </c>
      <c r="S67" s="33" t="s">
        <v>31</v>
      </c>
      <c r="T67" s="34">
        <f t="shared" si="13"/>
        <v>0</v>
      </c>
      <c r="U67" s="34">
        <f t="shared" ca="1" si="14"/>
        <v>288</v>
      </c>
      <c r="V67" s="34">
        <f>-SUMPRODUCT((S$6:S66=S67)*(X$6:X66=X67))</f>
        <v>0</v>
      </c>
      <c r="W67" s="34">
        <f>-SUMPRODUCT((S$6:S66=S67)*(X$6:X66=X67)*(B$6:B66&lt;&gt;"NS"))</f>
        <v>0</v>
      </c>
      <c r="X67" s="35">
        <f t="shared" si="15"/>
        <v>861.32163000000003</v>
      </c>
      <c r="Y67" s="29">
        <v>290</v>
      </c>
      <c r="Z67" s="29">
        <v>288</v>
      </c>
      <c r="AA67" s="29">
        <v>283</v>
      </c>
      <c r="AB67" s="29">
        <v>274</v>
      </c>
      <c r="AC67" s="29"/>
      <c r="AD67" s="29"/>
      <c r="AF67" s="36">
        <v>0</v>
      </c>
      <c r="AG67" s="36">
        <v>0</v>
      </c>
      <c r="AH67" s="36">
        <v>0</v>
      </c>
      <c r="AI67" s="36">
        <v>0</v>
      </c>
      <c r="AJ67" s="37">
        <v>3</v>
      </c>
      <c r="AK67" s="38">
        <v>847.31533999999988</v>
      </c>
      <c r="AL67" s="39">
        <v>290</v>
      </c>
      <c r="AM67" s="32">
        <v>863</v>
      </c>
      <c r="AN67" s="39"/>
      <c r="AO67" s="39" t="s">
        <v>444</v>
      </c>
      <c r="AP67" s="39" t="s">
        <v>445</v>
      </c>
      <c r="AQ67" s="50"/>
      <c r="AS67" s="1"/>
    </row>
    <row r="68" spans="1:45" s="26" customFormat="1" ht="15">
      <c r="A68" s="1">
        <v>6</v>
      </c>
      <c r="B68" s="1">
        <v>6</v>
      </c>
      <c r="C68" s="1"/>
      <c r="D68" s="1"/>
      <c r="E68" s="61" t="s">
        <v>64</v>
      </c>
      <c r="F68" s="29" t="s">
        <v>66</v>
      </c>
      <c r="G68" s="29">
        <v>268</v>
      </c>
      <c r="H68" s="29">
        <v>262</v>
      </c>
      <c r="I68" s="29"/>
      <c r="J68" s="29">
        <v>278</v>
      </c>
      <c r="K68" s="29">
        <v>285</v>
      </c>
      <c r="L68" s="29"/>
      <c r="M68" s="32">
        <f t="shared" si="9"/>
        <v>831</v>
      </c>
      <c r="N68" s="32" t="s">
        <v>1330</v>
      </c>
      <c r="O68" s="32"/>
      <c r="P68" s="32">
        <f t="shared" si="10"/>
        <v>830.99379999999996</v>
      </c>
      <c r="Q68" s="32">
        <f t="shared" si="11"/>
        <v>4</v>
      </c>
      <c r="R68" s="32">
        <f t="shared" ca="1" si="12"/>
        <v>0</v>
      </c>
      <c r="S68" s="33" t="s">
        <v>31</v>
      </c>
      <c r="T68" s="34">
        <f t="shared" si="13"/>
        <v>0</v>
      </c>
      <c r="U68" s="34">
        <f t="shared" ca="1" si="14"/>
        <v>285</v>
      </c>
      <c r="V68" s="34">
        <f>-SUMPRODUCT((S$6:S67=S68)*(X$6:X67=X68))</f>
        <v>0</v>
      </c>
      <c r="W68" s="34">
        <f>-SUMPRODUCT((S$6:S67=S68)*(X$6:X67=X68)*(B$6:B67&lt;&gt;"NS"))</f>
        <v>0</v>
      </c>
      <c r="X68" s="35">
        <f t="shared" si="15"/>
        <v>831.31547999999998</v>
      </c>
      <c r="Y68" s="29">
        <v>285</v>
      </c>
      <c r="Z68" s="29">
        <v>278</v>
      </c>
      <c r="AA68" s="29">
        <v>268</v>
      </c>
      <c r="AB68" s="29">
        <v>262</v>
      </c>
      <c r="AC68" s="29"/>
      <c r="AD68" s="29"/>
      <c r="AF68" s="36">
        <v>0</v>
      </c>
      <c r="AG68" s="36">
        <v>0</v>
      </c>
      <c r="AH68" s="36">
        <v>0</v>
      </c>
      <c r="AI68" s="36">
        <v>0</v>
      </c>
      <c r="AJ68" s="37">
        <v>3</v>
      </c>
      <c r="AK68" s="38">
        <v>808.30161999999996</v>
      </c>
      <c r="AL68" s="39">
        <v>278</v>
      </c>
      <c r="AM68" s="32">
        <v>824</v>
      </c>
      <c r="AN68" s="39"/>
      <c r="AO68" s="39"/>
      <c r="AP68" s="39"/>
      <c r="AQ68" s="50"/>
      <c r="AS68" s="1"/>
    </row>
    <row r="69" spans="1:45" s="26" customFormat="1" ht="15">
      <c r="A69" s="1">
        <v>7</v>
      </c>
      <c r="B69" s="1">
        <v>7</v>
      </c>
      <c r="C69" s="1"/>
      <c r="D69" s="1"/>
      <c r="E69" s="61" t="s">
        <v>81</v>
      </c>
      <c r="F69" s="29" t="s">
        <v>66</v>
      </c>
      <c r="G69" s="29"/>
      <c r="H69" s="29">
        <v>270</v>
      </c>
      <c r="I69" s="29"/>
      <c r="J69" s="29">
        <v>276</v>
      </c>
      <c r="K69" s="29">
        <v>277</v>
      </c>
      <c r="L69" s="29"/>
      <c r="M69" s="32">
        <f t="shared" si="9"/>
        <v>823</v>
      </c>
      <c r="N69" s="32" t="s">
        <v>1330</v>
      </c>
      <c r="O69" s="32"/>
      <c r="P69" s="32">
        <f t="shared" si="10"/>
        <v>822.99369999999999</v>
      </c>
      <c r="Q69" s="32">
        <f t="shared" si="11"/>
        <v>3</v>
      </c>
      <c r="R69" s="32">
        <f t="shared" ca="1" si="12"/>
        <v>0</v>
      </c>
      <c r="S69" s="33" t="s">
        <v>31</v>
      </c>
      <c r="T69" s="34">
        <f t="shared" si="13"/>
        <v>0</v>
      </c>
      <c r="U69" s="34">
        <f t="shared" ca="1" si="14"/>
        <v>277</v>
      </c>
      <c r="V69" s="34">
        <f>-SUMPRODUCT((S$6:S68=S69)*(X$6:X68=X69))</f>
        <v>0</v>
      </c>
      <c r="W69" s="34">
        <f>-SUMPRODUCT((S$6:S68=S69)*(X$6:X68=X69)*(B$6:B68&lt;&gt;"NS"))</f>
        <v>0</v>
      </c>
      <c r="X69" s="35">
        <f t="shared" si="15"/>
        <v>823.30730000000005</v>
      </c>
      <c r="Y69" s="29">
        <v>277</v>
      </c>
      <c r="Z69" s="29">
        <v>276</v>
      </c>
      <c r="AA69" s="29">
        <v>270</v>
      </c>
      <c r="AB69" s="29"/>
      <c r="AC69" s="29"/>
      <c r="AD69" s="29"/>
      <c r="AF69" s="36">
        <v>0</v>
      </c>
      <c r="AG69" s="36">
        <v>0</v>
      </c>
      <c r="AH69" s="36">
        <v>0</v>
      </c>
      <c r="AI69" s="36">
        <v>0</v>
      </c>
      <c r="AJ69" s="37">
        <v>2</v>
      </c>
      <c r="AK69" s="38">
        <v>546.29629999999997</v>
      </c>
      <c r="AL69" s="39">
        <v>276</v>
      </c>
      <c r="AM69" s="32">
        <v>822</v>
      </c>
      <c r="AN69" s="39"/>
      <c r="AO69" s="39"/>
      <c r="AP69" s="39"/>
      <c r="AQ69" s="50"/>
      <c r="AS69" s="1"/>
    </row>
    <row r="70" spans="1:45" s="26" customFormat="1" ht="15">
      <c r="A70" s="1">
        <v>8</v>
      </c>
      <c r="B70" s="1">
        <v>8</v>
      </c>
      <c r="C70" s="1"/>
      <c r="D70" s="1"/>
      <c r="E70" s="61" t="s">
        <v>96</v>
      </c>
      <c r="F70" s="29" t="s">
        <v>88</v>
      </c>
      <c r="G70" s="29">
        <v>260</v>
      </c>
      <c r="H70" s="29">
        <v>246</v>
      </c>
      <c r="I70" s="29"/>
      <c r="J70" s="29">
        <v>265</v>
      </c>
      <c r="K70" s="29">
        <v>271</v>
      </c>
      <c r="L70" s="29"/>
      <c r="M70" s="32">
        <f t="shared" si="9"/>
        <v>796</v>
      </c>
      <c r="N70" s="32" t="s">
        <v>1330</v>
      </c>
      <c r="O70" s="32"/>
      <c r="P70" s="32">
        <f t="shared" si="10"/>
        <v>795.99360000000001</v>
      </c>
      <c r="Q70" s="32">
        <f t="shared" si="11"/>
        <v>4</v>
      </c>
      <c r="R70" s="32">
        <f t="shared" ca="1" si="12"/>
        <v>0</v>
      </c>
      <c r="S70" s="33" t="s">
        <v>31</v>
      </c>
      <c r="T70" s="34">
        <f t="shared" si="13"/>
        <v>0</v>
      </c>
      <c r="U70" s="34">
        <f t="shared" ca="1" si="14"/>
        <v>271</v>
      </c>
      <c r="V70" s="34">
        <f>-SUMPRODUCT((S$6:S69=S70)*(X$6:X69=X70))</f>
        <v>0</v>
      </c>
      <c r="W70" s="34">
        <f>-SUMPRODUCT((S$6:S69=S70)*(X$6:X69=X70)*(B$6:B69&lt;&gt;"NS"))</f>
        <v>0</v>
      </c>
      <c r="X70" s="35">
        <f t="shared" si="15"/>
        <v>796.30010000000004</v>
      </c>
      <c r="Y70" s="29">
        <v>271</v>
      </c>
      <c r="Z70" s="29">
        <v>265</v>
      </c>
      <c r="AA70" s="29">
        <v>260</v>
      </c>
      <c r="AB70" s="29">
        <v>246</v>
      </c>
      <c r="AC70" s="29"/>
      <c r="AD70" s="29"/>
      <c r="AF70" s="36">
        <v>0</v>
      </c>
      <c r="AG70" s="36">
        <v>0</v>
      </c>
      <c r="AH70" s="36">
        <v>0</v>
      </c>
      <c r="AI70" s="36">
        <v>0</v>
      </c>
      <c r="AJ70" s="37">
        <v>3</v>
      </c>
      <c r="AK70" s="38">
        <v>771.28755999999998</v>
      </c>
      <c r="AL70" s="39">
        <v>265</v>
      </c>
      <c r="AM70" s="32">
        <v>790</v>
      </c>
      <c r="AN70" s="39"/>
      <c r="AO70" s="39"/>
      <c r="AP70" s="39"/>
      <c r="AQ70" s="50"/>
      <c r="AS70" s="1"/>
    </row>
    <row r="71" spans="1:45" s="26" customFormat="1" ht="15">
      <c r="A71" s="1">
        <v>9</v>
      </c>
      <c r="B71" s="1">
        <v>9</v>
      </c>
      <c r="C71" s="1"/>
      <c r="D71" s="1"/>
      <c r="E71" s="61" t="s">
        <v>146</v>
      </c>
      <c r="F71" s="29" t="s">
        <v>29</v>
      </c>
      <c r="G71" s="29">
        <v>186</v>
      </c>
      <c r="H71" s="29">
        <v>173</v>
      </c>
      <c r="I71" s="29">
        <v>219</v>
      </c>
      <c r="J71" s="29"/>
      <c r="K71" s="29">
        <v>248</v>
      </c>
      <c r="L71" s="29"/>
      <c r="M71" s="32">
        <f t="shared" si="9"/>
        <v>653</v>
      </c>
      <c r="N71" s="32" t="s">
        <v>1330</v>
      </c>
      <c r="O71" s="32"/>
      <c r="P71" s="32">
        <f t="shared" si="10"/>
        <v>652.99350000000004</v>
      </c>
      <c r="Q71" s="32">
        <f t="shared" si="11"/>
        <v>4</v>
      </c>
      <c r="R71" s="32">
        <f t="shared" ca="1" si="12"/>
        <v>0</v>
      </c>
      <c r="S71" s="33" t="s">
        <v>31</v>
      </c>
      <c r="T71" s="34">
        <f t="shared" si="13"/>
        <v>0</v>
      </c>
      <c r="U71" s="34">
        <f t="shared" ca="1" si="14"/>
        <v>248</v>
      </c>
      <c r="V71" s="34">
        <f>-SUMPRODUCT((S$6:S70=S71)*(X$6:X70=X71))</f>
        <v>0</v>
      </c>
      <c r="W71" s="34">
        <f>-SUMPRODUCT((S$6:S70=S71)*(X$6:X70=X71)*(B$6:B70&lt;&gt;"NS"))</f>
        <v>0</v>
      </c>
      <c r="X71" s="35">
        <f t="shared" si="15"/>
        <v>653.27175999999997</v>
      </c>
      <c r="Y71" s="29">
        <v>248</v>
      </c>
      <c r="Z71" s="29">
        <v>219</v>
      </c>
      <c r="AA71" s="29">
        <v>186</v>
      </c>
      <c r="AB71" s="29">
        <v>173</v>
      </c>
      <c r="AC71" s="29"/>
      <c r="AD71" s="29"/>
      <c r="AF71" s="36">
        <v>0</v>
      </c>
      <c r="AG71" s="36">
        <v>0</v>
      </c>
      <c r="AH71" s="36">
        <v>0</v>
      </c>
      <c r="AI71" s="36">
        <v>0</v>
      </c>
      <c r="AJ71" s="37">
        <v>3</v>
      </c>
      <c r="AK71" s="38">
        <v>578.23283000000004</v>
      </c>
      <c r="AL71" s="39">
        <v>219</v>
      </c>
      <c r="AM71" s="32">
        <v>624</v>
      </c>
      <c r="AN71" s="39"/>
      <c r="AO71" s="39"/>
      <c r="AP71" s="39"/>
      <c r="AQ71" s="50"/>
      <c r="AS71" s="1"/>
    </row>
    <row r="72" spans="1:45" s="26" customFormat="1" ht="15">
      <c r="A72" s="1">
        <v>10</v>
      </c>
      <c r="B72" s="1">
        <v>10</v>
      </c>
      <c r="C72" s="1"/>
      <c r="D72" s="1"/>
      <c r="E72" s="61" t="s">
        <v>447</v>
      </c>
      <c r="F72" s="29" t="s">
        <v>57</v>
      </c>
      <c r="G72" s="29">
        <v>185</v>
      </c>
      <c r="H72" s="29">
        <v>190</v>
      </c>
      <c r="I72" s="29">
        <v>211</v>
      </c>
      <c r="J72" s="29">
        <v>237</v>
      </c>
      <c r="K72" s="29"/>
      <c r="L72" s="29"/>
      <c r="M72" s="32">
        <f t="shared" si="9"/>
        <v>638</v>
      </c>
      <c r="N72" s="32" t="s">
        <v>1330</v>
      </c>
      <c r="O72" s="32"/>
      <c r="P72" s="32">
        <f t="shared" si="10"/>
        <v>637.99339999999995</v>
      </c>
      <c r="Q72" s="32">
        <f t="shared" si="11"/>
        <v>4</v>
      </c>
      <c r="R72" s="32">
        <f t="shared" ca="1" si="12"/>
        <v>0</v>
      </c>
      <c r="S72" s="33" t="s">
        <v>31</v>
      </c>
      <c r="T72" s="34">
        <f t="shared" si="13"/>
        <v>0</v>
      </c>
      <c r="U72" s="34">
        <f t="shared" ca="1" si="14"/>
        <v>0</v>
      </c>
      <c r="V72" s="34">
        <f>-SUMPRODUCT((S$6:S71=S72)*(X$6:X71=X72))</f>
        <v>0</v>
      </c>
      <c r="W72" s="34">
        <f>-SUMPRODUCT((S$6:S71=S72)*(X$6:X71=X72)*(B$6:B71&lt;&gt;"NS"))</f>
        <v>0</v>
      </c>
      <c r="X72" s="35">
        <f t="shared" si="15"/>
        <v>638.26</v>
      </c>
      <c r="Y72" s="29">
        <v>237</v>
      </c>
      <c r="Z72" s="29">
        <v>211</v>
      </c>
      <c r="AA72" s="29">
        <v>190</v>
      </c>
      <c r="AB72" s="29">
        <v>185</v>
      </c>
      <c r="AC72" s="29"/>
      <c r="AD72" s="29"/>
      <c r="AF72" s="36">
        <v>0</v>
      </c>
      <c r="AG72" s="36">
        <v>0</v>
      </c>
      <c r="AH72" s="36">
        <v>0</v>
      </c>
      <c r="AI72" s="36">
        <v>0</v>
      </c>
      <c r="AJ72" s="37">
        <v>4</v>
      </c>
      <c r="AK72" s="38">
        <v>638.25418500000001</v>
      </c>
      <c r="AL72" s="39">
        <v>237</v>
      </c>
      <c r="AM72" s="32">
        <v>685</v>
      </c>
      <c r="AN72" s="39"/>
      <c r="AO72" s="39"/>
      <c r="AP72" s="39"/>
      <c r="AQ72" s="50"/>
      <c r="AS72" s="1"/>
    </row>
    <row r="73" spans="1:45" s="26" customFormat="1" ht="15">
      <c r="A73" s="1">
        <v>11</v>
      </c>
      <c r="B73" s="1">
        <v>11</v>
      </c>
      <c r="C73" s="1"/>
      <c r="D73" s="1"/>
      <c r="E73" s="61" t="s">
        <v>448</v>
      </c>
      <c r="F73" s="29" t="s">
        <v>66</v>
      </c>
      <c r="G73" s="29"/>
      <c r="H73" s="29">
        <v>177</v>
      </c>
      <c r="I73" s="29">
        <v>221</v>
      </c>
      <c r="J73" s="29">
        <v>225</v>
      </c>
      <c r="K73" s="29"/>
      <c r="L73" s="29"/>
      <c r="M73" s="32">
        <f t="shared" si="9"/>
        <v>623</v>
      </c>
      <c r="N73" s="32" t="s">
        <v>1330</v>
      </c>
      <c r="O73" s="32"/>
      <c r="P73" s="32">
        <f t="shared" si="10"/>
        <v>622.99329999999998</v>
      </c>
      <c r="Q73" s="32">
        <f t="shared" si="11"/>
        <v>3</v>
      </c>
      <c r="R73" s="32">
        <f t="shared" ca="1" si="12"/>
        <v>0</v>
      </c>
      <c r="S73" s="33" t="s">
        <v>31</v>
      </c>
      <c r="T73" s="34">
        <f t="shared" si="13"/>
        <v>0</v>
      </c>
      <c r="U73" s="34">
        <f t="shared" ca="1" si="14"/>
        <v>0</v>
      </c>
      <c r="V73" s="34">
        <f>-SUMPRODUCT((S$6:S72=S73)*(X$6:X72=X73))</f>
        <v>0</v>
      </c>
      <c r="W73" s="34">
        <f>-SUMPRODUCT((S$6:S72=S73)*(X$6:X72=X73)*(B$6:B72&lt;&gt;"NS"))</f>
        <v>0</v>
      </c>
      <c r="X73" s="35">
        <f t="shared" si="15"/>
        <v>623.24887000000001</v>
      </c>
      <c r="Y73" s="29">
        <v>225</v>
      </c>
      <c r="Z73" s="29">
        <v>221</v>
      </c>
      <c r="AA73" s="29">
        <v>177</v>
      </c>
      <c r="AB73" s="29"/>
      <c r="AC73" s="29"/>
      <c r="AD73" s="29"/>
      <c r="AF73" s="36">
        <v>0</v>
      </c>
      <c r="AG73" s="36">
        <v>0</v>
      </c>
      <c r="AH73" s="36">
        <v>0</v>
      </c>
      <c r="AI73" s="36">
        <v>0</v>
      </c>
      <c r="AJ73" s="37">
        <v>3</v>
      </c>
      <c r="AK73" s="38">
        <v>623.24277000000006</v>
      </c>
      <c r="AL73" s="39">
        <v>225</v>
      </c>
      <c r="AM73" s="32">
        <v>671</v>
      </c>
      <c r="AN73" s="39"/>
      <c r="AO73" s="39"/>
      <c r="AP73" s="39"/>
      <c r="AQ73" s="50"/>
      <c r="AS73" s="1"/>
    </row>
    <row r="74" spans="1:45" s="26" customFormat="1" ht="15">
      <c r="A74" s="1">
        <v>12</v>
      </c>
      <c r="B74" s="1">
        <v>12</v>
      </c>
      <c r="C74" s="1"/>
      <c r="D74" s="1"/>
      <c r="E74" s="61" t="s">
        <v>30</v>
      </c>
      <c r="F74" s="29" t="s">
        <v>19</v>
      </c>
      <c r="G74" s="29"/>
      <c r="H74" s="29"/>
      <c r="I74" s="29"/>
      <c r="J74" s="29">
        <v>299</v>
      </c>
      <c r="K74" s="29">
        <v>297</v>
      </c>
      <c r="L74" s="29"/>
      <c r="M74" s="32">
        <f t="shared" si="9"/>
        <v>596</v>
      </c>
      <c r="N74" s="32" t="s">
        <v>1330</v>
      </c>
      <c r="O74" s="32"/>
      <c r="P74" s="32">
        <f t="shared" si="10"/>
        <v>595.9932</v>
      </c>
      <c r="Q74" s="32">
        <f t="shared" si="11"/>
        <v>2</v>
      </c>
      <c r="R74" s="32">
        <f t="shared" ca="1" si="12"/>
        <v>0</v>
      </c>
      <c r="S74" s="33" t="s">
        <v>31</v>
      </c>
      <c r="T74" s="34">
        <f t="shared" si="13"/>
        <v>0</v>
      </c>
      <c r="U74" s="34">
        <f t="shared" ca="1" si="14"/>
        <v>297</v>
      </c>
      <c r="V74" s="34">
        <f>-SUMPRODUCT((S$6:S73=S74)*(X$6:X73=X74))</f>
        <v>0</v>
      </c>
      <c r="W74" s="34">
        <f>-SUMPRODUCT((S$6:S73=S74)*(X$6:X73=X74)*(B$6:B73&lt;&gt;"NS"))</f>
        <v>0</v>
      </c>
      <c r="X74" s="35">
        <f t="shared" si="15"/>
        <v>596.32870000000003</v>
      </c>
      <c r="Y74" s="29">
        <v>299</v>
      </c>
      <c r="Z74" s="29">
        <v>297</v>
      </c>
      <c r="AA74" s="29"/>
      <c r="AB74" s="29"/>
      <c r="AC74" s="29"/>
      <c r="AD74" s="29"/>
      <c r="AF74" s="36">
        <v>0</v>
      </c>
      <c r="AG74" s="36">
        <v>0</v>
      </c>
      <c r="AH74" s="36">
        <v>0</v>
      </c>
      <c r="AI74" s="36">
        <v>0</v>
      </c>
      <c r="AJ74" s="37">
        <v>1</v>
      </c>
      <c r="AK74" s="38">
        <v>299.29169999999999</v>
      </c>
      <c r="AL74" s="39">
        <v>299</v>
      </c>
      <c r="AM74" s="32">
        <v>598</v>
      </c>
      <c r="AN74" s="39"/>
      <c r="AO74" s="39"/>
      <c r="AP74" s="39"/>
      <c r="AQ74" s="50"/>
      <c r="AS74" s="1"/>
    </row>
    <row r="75" spans="1:45" s="26" customFormat="1" ht="15">
      <c r="A75" s="1">
        <v>13</v>
      </c>
      <c r="B75" s="1">
        <v>13</v>
      </c>
      <c r="C75" s="1"/>
      <c r="D75" s="1"/>
      <c r="E75" s="61" t="s">
        <v>449</v>
      </c>
      <c r="F75" s="29" t="s">
        <v>76</v>
      </c>
      <c r="G75" s="29">
        <v>189</v>
      </c>
      <c r="H75" s="29">
        <v>193</v>
      </c>
      <c r="I75" s="29">
        <v>210</v>
      </c>
      <c r="J75" s="29">
        <v>184</v>
      </c>
      <c r="K75" s="29"/>
      <c r="L75" s="29"/>
      <c r="M75" s="32">
        <f t="shared" si="9"/>
        <v>592</v>
      </c>
      <c r="N75" s="32" t="s">
        <v>1330</v>
      </c>
      <c r="O75" s="32"/>
      <c r="P75" s="32">
        <f t="shared" si="10"/>
        <v>591.99310000000003</v>
      </c>
      <c r="Q75" s="32">
        <f t="shared" si="11"/>
        <v>4</v>
      </c>
      <c r="R75" s="32">
        <f t="shared" ca="1" si="12"/>
        <v>0</v>
      </c>
      <c r="S75" s="33" t="s">
        <v>31</v>
      </c>
      <c r="T75" s="34">
        <f t="shared" si="13"/>
        <v>0</v>
      </c>
      <c r="U75" s="34">
        <f t="shared" ca="1" si="14"/>
        <v>0</v>
      </c>
      <c r="V75" s="34">
        <f>-SUMPRODUCT((S$6:S74=S75)*(X$6:X74=X75))</f>
        <v>0</v>
      </c>
      <c r="W75" s="34">
        <f>-SUMPRODUCT((S$6:S74=S75)*(X$6:X74=X75)*(B$6:B74&lt;&gt;"NS"))</f>
        <v>0</v>
      </c>
      <c r="X75" s="35">
        <f t="shared" si="15"/>
        <v>592.23118999999997</v>
      </c>
      <c r="Y75" s="29">
        <v>210</v>
      </c>
      <c r="Z75" s="29">
        <v>193</v>
      </c>
      <c r="AA75" s="29">
        <v>189</v>
      </c>
      <c r="AB75" s="29">
        <v>184</v>
      </c>
      <c r="AC75" s="29"/>
      <c r="AD75" s="29"/>
      <c r="AF75" s="36">
        <v>0</v>
      </c>
      <c r="AG75" s="36">
        <v>0</v>
      </c>
      <c r="AH75" s="36">
        <v>0</v>
      </c>
      <c r="AI75" s="36">
        <v>0</v>
      </c>
      <c r="AJ75" s="37">
        <v>4</v>
      </c>
      <c r="AK75" s="38">
        <v>592.22507400000006</v>
      </c>
      <c r="AL75" s="39">
        <v>210</v>
      </c>
      <c r="AM75" s="32">
        <v>613</v>
      </c>
      <c r="AN75" s="39"/>
      <c r="AO75" s="39"/>
      <c r="AP75" s="39"/>
      <c r="AQ75" s="50"/>
      <c r="AS75" s="1"/>
    </row>
    <row r="76" spans="1:45" s="26" customFormat="1" ht="15">
      <c r="A76" s="1">
        <v>14</v>
      </c>
      <c r="B76" s="1">
        <v>14</v>
      </c>
      <c r="C76" s="1"/>
      <c r="D76" s="1"/>
      <c r="E76" s="61" t="s">
        <v>450</v>
      </c>
      <c r="F76" s="29" t="s">
        <v>50</v>
      </c>
      <c r="G76" s="29"/>
      <c r="H76" s="29"/>
      <c r="I76" s="29">
        <v>290</v>
      </c>
      <c r="J76" s="29">
        <v>294</v>
      </c>
      <c r="K76" s="29"/>
      <c r="L76" s="29"/>
      <c r="M76" s="32">
        <f t="shared" si="9"/>
        <v>584</v>
      </c>
      <c r="N76" s="32" t="s">
        <v>1330</v>
      </c>
      <c r="O76" s="32"/>
      <c r="P76" s="32">
        <f t="shared" si="10"/>
        <v>583.99300000000005</v>
      </c>
      <c r="Q76" s="32">
        <f t="shared" si="11"/>
        <v>2</v>
      </c>
      <c r="R76" s="32">
        <f t="shared" ca="1" si="12"/>
        <v>0</v>
      </c>
      <c r="S76" s="33" t="s">
        <v>31</v>
      </c>
      <c r="T76" s="34">
        <f t="shared" si="13"/>
        <v>0</v>
      </c>
      <c r="U76" s="34">
        <f t="shared" ca="1" si="14"/>
        <v>0</v>
      </c>
      <c r="V76" s="34">
        <f>-SUMPRODUCT((S$6:S75=S76)*(X$6:X75=X76))</f>
        <v>0</v>
      </c>
      <c r="W76" s="34">
        <f>-SUMPRODUCT((S$6:S75=S76)*(X$6:X75=X76)*(B$6:B75&lt;&gt;"NS"))</f>
        <v>0</v>
      </c>
      <c r="X76" s="35">
        <f t="shared" si="15"/>
        <v>584.32299999999998</v>
      </c>
      <c r="Y76" s="29">
        <v>294</v>
      </c>
      <c r="Z76" s="29">
        <v>290</v>
      </c>
      <c r="AA76" s="29"/>
      <c r="AB76" s="29"/>
      <c r="AC76" s="29"/>
      <c r="AD76" s="29"/>
      <c r="AF76" s="36">
        <v>0</v>
      </c>
      <c r="AG76" s="36">
        <v>0</v>
      </c>
      <c r="AH76" s="36">
        <v>0</v>
      </c>
      <c r="AI76" s="36">
        <v>0</v>
      </c>
      <c r="AJ76" s="37">
        <v>2</v>
      </c>
      <c r="AK76" s="38">
        <v>584.31659999999999</v>
      </c>
      <c r="AL76" s="39">
        <v>294</v>
      </c>
      <c r="AM76" s="32">
        <v>878</v>
      </c>
      <c r="AN76" s="39"/>
      <c r="AO76" s="39" t="s">
        <v>444</v>
      </c>
      <c r="AP76" s="39" t="s">
        <v>445</v>
      </c>
      <c r="AQ76" s="50"/>
      <c r="AS76" s="1"/>
    </row>
    <row r="77" spans="1:45" s="26" customFormat="1" ht="15">
      <c r="A77" s="1">
        <v>15</v>
      </c>
      <c r="B77" s="1">
        <v>15</v>
      </c>
      <c r="C77" s="1"/>
      <c r="D77" s="1"/>
      <c r="E77" s="61" t="s">
        <v>451</v>
      </c>
      <c r="F77" s="29" t="s">
        <v>57</v>
      </c>
      <c r="G77" s="29"/>
      <c r="H77" s="29"/>
      <c r="I77" s="29">
        <v>268</v>
      </c>
      <c r="J77" s="29">
        <v>279</v>
      </c>
      <c r="K77" s="29"/>
      <c r="L77" s="29"/>
      <c r="M77" s="32">
        <f t="shared" si="9"/>
        <v>547</v>
      </c>
      <c r="N77" s="32" t="s">
        <v>1330</v>
      </c>
      <c r="O77" s="32"/>
      <c r="P77" s="32">
        <f t="shared" si="10"/>
        <v>546.99289999999996</v>
      </c>
      <c r="Q77" s="32">
        <f t="shared" si="11"/>
        <v>2</v>
      </c>
      <c r="R77" s="32">
        <f t="shared" ca="1" si="12"/>
        <v>0</v>
      </c>
      <c r="S77" s="33" t="s">
        <v>31</v>
      </c>
      <c r="T77" s="34">
        <f t="shared" si="13"/>
        <v>0</v>
      </c>
      <c r="U77" s="34">
        <f t="shared" ca="1" si="14"/>
        <v>0</v>
      </c>
      <c r="V77" s="34">
        <f>-SUMPRODUCT((S$6:S76=S77)*(X$6:X76=X77))</f>
        <v>0</v>
      </c>
      <c r="W77" s="34">
        <f>-SUMPRODUCT((S$6:S76=S77)*(X$6:X76=X77)*(B$6:B76&lt;&gt;"NS"))</f>
        <v>0</v>
      </c>
      <c r="X77" s="35">
        <f t="shared" si="15"/>
        <v>547.30579999999998</v>
      </c>
      <c r="Y77" s="29">
        <v>279</v>
      </c>
      <c r="Z77" s="29">
        <v>268</v>
      </c>
      <c r="AA77" s="29"/>
      <c r="AB77" s="29"/>
      <c r="AC77" s="29"/>
      <c r="AD77" s="29"/>
      <c r="AF77" s="36">
        <v>0</v>
      </c>
      <c r="AG77" s="36">
        <v>0</v>
      </c>
      <c r="AH77" s="36">
        <v>0</v>
      </c>
      <c r="AI77" s="36">
        <v>0</v>
      </c>
      <c r="AJ77" s="37">
        <v>2</v>
      </c>
      <c r="AK77" s="38">
        <v>547.29919999999993</v>
      </c>
      <c r="AL77" s="39">
        <v>279</v>
      </c>
      <c r="AM77" s="32">
        <v>826</v>
      </c>
      <c r="AN77" s="39"/>
      <c r="AO77" s="39"/>
      <c r="AP77" s="39"/>
      <c r="AQ77" s="50"/>
      <c r="AS77" s="1"/>
    </row>
    <row r="78" spans="1:45" s="26" customFormat="1" ht="15">
      <c r="A78" s="1">
        <v>16</v>
      </c>
      <c r="B78" s="1" t="s">
        <v>111</v>
      </c>
      <c r="C78" s="1"/>
      <c r="D78" s="1"/>
      <c r="E78" s="61" t="s">
        <v>199</v>
      </c>
      <c r="F78" s="29" t="s">
        <v>201</v>
      </c>
      <c r="G78" s="29">
        <v>116</v>
      </c>
      <c r="H78" s="29">
        <v>138</v>
      </c>
      <c r="I78" s="29"/>
      <c r="J78" s="29">
        <v>189</v>
      </c>
      <c r="K78" s="29">
        <v>218</v>
      </c>
      <c r="L78" s="29"/>
      <c r="M78" s="32">
        <f t="shared" si="9"/>
        <v>545</v>
      </c>
      <c r="N78" s="32" t="s">
        <v>1331</v>
      </c>
      <c r="O78" s="32"/>
      <c r="P78" s="32">
        <f t="shared" si="10"/>
        <v>544.99279999999999</v>
      </c>
      <c r="Q78" s="32">
        <f t="shared" si="11"/>
        <v>4</v>
      </c>
      <c r="R78" s="32">
        <f t="shared" ca="1" si="12"/>
        <v>0</v>
      </c>
      <c r="S78" s="33" t="s">
        <v>31</v>
      </c>
      <c r="T78" s="34">
        <f t="shared" si="13"/>
        <v>0</v>
      </c>
      <c r="U78" s="34">
        <f t="shared" ca="1" si="14"/>
        <v>218</v>
      </c>
      <c r="V78" s="34">
        <f>-SUMPRODUCT((S$6:S77=S78)*(X$6:X77=X78))</f>
        <v>0</v>
      </c>
      <c r="W78" s="34">
        <f>-SUMPRODUCT((S$6:S77=S78)*(X$6:X77=X78)*(B$6:B77&lt;&gt;"NS"))</f>
        <v>0</v>
      </c>
      <c r="X78" s="35">
        <f t="shared" si="15"/>
        <v>545.23828000000003</v>
      </c>
      <c r="Y78" s="29">
        <v>218</v>
      </c>
      <c r="Z78" s="29">
        <v>189</v>
      </c>
      <c r="AA78" s="29">
        <v>138</v>
      </c>
      <c r="AB78" s="29">
        <v>116</v>
      </c>
      <c r="AC78" s="29"/>
      <c r="AD78" s="29"/>
      <c r="AF78" s="36">
        <v>0</v>
      </c>
      <c r="AG78" s="36">
        <v>0</v>
      </c>
      <c r="AH78" s="36">
        <v>0</v>
      </c>
      <c r="AI78" s="36">
        <v>0</v>
      </c>
      <c r="AJ78" s="37">
        <v>3</v>
      </c>
      <c r="AK78" s="38">
        <v>443.19696000000005</v>
      </c>
      <c r="AL78" s="39">
        <v>189</v>
      </c>
      <c r="AM78" s="32">
        <v>0</v>
      </c>
      <c r="AN78" s="39"/>
      <c r="AO78" s="39"/>
      <c r="AP78" s="39"/>
      <c r="AQ78" s="50"/>
      <c r="AS78" s="1"/>
    </row>
    <row r="79" spans="1:45" s="26" customFormat="1" ht="15">
      <c r="A79" s="1">
        <v>17</v>
      </c>
      <c r="B79" s="1">
        <v>16</v>
      </c>
      <c r="C79" s="1"/>
      <c r="D79" s="1"/>
      <c r="E79" s="61" t="s">
        <v>452</v>
      </c>
      <c r="F79" s="29" t="s">
        <v>19</v>
      </c>
      <c r="G79" s="29"/>
      <c r="H79" s="29">
        <v>249</v>
      </c>
      <c r="I79" s="29">
        <v>274</v>
      </c>
      <c r="J79" s="29"/>
      <c r="K79" s="29"/>
      <c r="L79" s="29"/>
      <c r="M79" s="32">
        <f t="shared" si="9"/>
        <v>523</v>
      </c>
      <c r="N79" s="32" t="s">
        <v>1330</v>
      </c>
      <c r="O79" s="32"/>
      <c r="P79" s="32">
        <f t="shared" si="10"/>
        <v>522.99270000000001</v>
      </c>
      <c r="Q79" s="32">
        <f t="shared" si="11"/>
        <v>2</v>
      </c>
      <c r="R79" s="32">
        <f t="shared" ca="1" si="12"/>
        <v>0</v>
      </c>
      <c r="S79" s="33" t="s">
        <v>31</v>
      </c>
      <c r="T79" s="34">
        <f t="shared" si="13"/>
        <v>0</v>
      </c>
      <c r="U79" s="34">
        <f t="shared" ca="1" si="14"/>
        <v>0</v>
      </c>
      <c r="V79" s="34">
        <f>-SUMPRODUCT((S$6:S78=S79)*(X$6:X78=X79))</f>
        <v>0</v>
      </c>
      <c r="W79" s="34">
        <f>-SUMPRODUCT((S$6:S78=S79)*(X$6:X78=X79)*(B$6:B78&lt;&gt;"NS"))</f>
        <v>0</v>
      </c>
      <c r="X79" s="35">
        <f t="shared" si="15"/>
        <v>523.2989</v>
      </c>
      <c r="Y79" s="29">
        <v>274</v>
      </c>
      <c r="Z79" s="29">
        <v>249</v>
      </c>
      <c r="AA79" s="29"/>
      <c r="AB79" s="29"/>
      <c r="AC79" s="29"/>
      <c r="AD79" s="29"/>
      <c r="AF79" s="36">
        <v>0</v>
      </c>
      <c r="AG79" s="36">
        <v>0</v>
      </c>
      <c r="AH79" s="36">
        <v>0</v>
      </c>
      <c r="AI79" s="36">
        <v>0</v>
      </c>
      <c r="AJ79" s="37">
        <v>2</v>
      </c>
      <c r="AK79" s="38">
        <v>523.2921</v>
      </c>
      <c r="AL79" s="39">
        <v>274</v>
      </c>
      <c r="AM79" s="32">
        <v>797</v>
      </c>
      <c r="AN79" s="39"/>
      <c r="AO79" s="39"/>
      <c r="AP79" s="39"/>
      <c r="AQ79" s="50"/>
      <c r="AS79" s="1"/>
    </row>
    <row r="80" spans="1:45" s="26" customFormat="1" ht="15">
      <c r="A80" s="1">
        <v>18</v>
      </c>
      <c r="B80" s="1">
        <v>17</v>
      </c>
      <c r="C80" s="1"/>
      <c r="D80" s="1"/>
      <c r="E80" s="61" t="s">
        <v>453</v>
      </c>
      <c r="F80" s="29" t="s">
        <v>66</v>
      </c>
      <c r="G80" s="29">
        <v>142</v>
      </c>
      <c r="H80" s="29">
        <v>152</v>
      </c>
      <c r="I80" s="29">
        <v>188</v>
      </c>
      <c r="J80" s="29"/>
      <c r="K80" s="29"/>
      <c r="L80" s="29"/>
      <c r="M80" s="32">
        <f t="shared" si="9"/>
        <v>482</v>
      </c>
      <c r="N80" s="32" t="s">
        <v>1330</v>
      </c>
      <c r="O80" s="32"/>
      <c r="P80" s="32">
        <f t="shared" si="10"/>
        <v>481.99259999999998</v>
      </c>
      <c r="Q80" s="32">
        <f t="shared" si="11"/>
        <v>3</v>
      </c>
      <c r="R80" s="32">
        <f t="shared" ca="1" si="12"/>
        <v>0</v>
      </c>
      <c r="S80" s="33" t="s">
        <v>31</v>
      </c>
      <c r="T80" s="34">
        <f t="shared" si="13"/>
        <v>0</v>
      </c>
      <c r="U80" s="34">
        <f t="shared" ca="1" si="14"/>
        <v>0</v>
      </c>
      <c r="V80" s="34">
        <f>-SUMPRODUCT((S$6:S79=S80)*(X$6:X79=X80))</f>
        <v>0</v>
      </c>
      <c r="W80" s="34">
        <f>-SUMPRODUCT((S$6:S79=S80)*(X$6:X79=X80)*(B$6:B79&lt;&gt;"NS"))</f>
        <v>0</v>
      </c>
      <c r="X80" s="35">
        <f t="shared" si="15"/>
        <v>482.20461999999998</v>
      </c>
      <c r="Y80" s="29">
        <v>188</v>
      </c>
      <c r="Z80" s="29">
        <v>152</v>
      </c>
      <c r="AA80" s="29">
        <v>142</v>
      </c>
      <c r="AB80" s="29"/>
      <c r="AC80" s="29"/>
      <c r="AD80" s="29"/>
      <c r="AF80" s="36">
        <v>0</v>
      </c>
      <c r="AG80" s="36">
        <v>0</v>
      </c>
      <c r="AH80" s="36">
        <v>0</v>
      </c>
      <c r="AI80" s="36">
        <v>0</v>
      </c>
      <c r="AJ80" s="37">
        <v>3</v>
      </c>
      <c r="AK80" s="38">
        <v>482.19772</v>
      </c>
      <c r="AL80" s="39">
        <v>188</v>
      </c>
      <c r="AM80" s="32">
        <v>528</v>
      </c>
      <c r="AN80" s="39"/>
      <c r="AO80" s="39"/>
      <c r="AP80" s="39"/>
      <c r="AQ80" s="50"/>
      <c r="AS80" s="1"/>
    </row>
    <row r="81" spans="1:45" s="26" customFormat="1" ht="15">
      <c r="A81" s="1">
        <v>19</v>
      </c>
      <c r="B81" s="1">
        <v>18</v>
      </c>
      <c r="C81" s="1"/>
      <c r="D81" s="1"/>
      <c r="E81" s="61" t="s">
        <v>454</v>
      </c>
      <c r="F81" s="29" t="s">
        <v>76</v>
      </c>
      <c r="G81" s="29"/>
      <c r="H81" s="29">
        <v>192</v>
      </c>
      <c r="I81" s="29">
        <v>229</v>
      </c>
      <c r="J81" s="29"/>
      <c r="K81" s="29"/>
      <c r="L81" s="29"/>
      <c r="M81" s="32">
        <f t="shared" si="9"/>
        <v>421</v>
      </c>
      <c r="N81" s="32" t="s">
        <v>1330</v>
      </c>
      <c r="O81" s="32"/>
      <c r="P81" s="32">
        <f t="shared" si="10"/>
        <v>420.99250000000001</v>
      </c>
      <c r="Q81" s="32">
        <f t="shared" si="11"/>
        <v>2</v>
      </c>
      <c r="R81" s="32">
        <f t="shared" ca="1" si="12"/>
        <v>0</v>
      </c>
      <c r="S81" s="33" t="s">
        <v>31</v>
      </c>
      <c r="T81" s="34">
        <f t="shared" si="13"/>
        <v>0</v>
      </c>
      <c r="U81" s="34">
        <f t="shared" ca="1" si="14"/>
        <v>0</v>
      </c>
      <c r="V81" s="34">
        <f>-SUMPRODUCT((S$6:S80=S81)*(X$6:X80=X81))</f>
        <v>0</v>
      </c>
      <c r="W81" s="34">
        <f>-SUMPRODUCT((S$6:S80=S81)*(X$6:X80=X81)*(B$6:B80&lt;&gt;"NS"))</f>
        <v>0</v>
      </c>
      <c r="X81" s="35">
        <f t="shared" si="15"/>
        <v>421.2482</v>
      </c>
      <c r="Y81" s="29">
        <v>229</v>
      </c>
      <c r="Z81" s="29">
        <v>192</v>
      </c>
      <c r="AA81" s="29"/>
      <c r="AB81" s="29"/>
      <c r="AC81" s="29"/>
      <c r="AD81" s="29"/>
      <c r="AF81" s="36">
        <v>0</v>
      </c>
      <c r="AG81" s="36">
        <v>0</v>
      </c>
      <c r="AH81" s="36">
        <v>0</v>
      </c>
      <c r="AI81" s="36">
        <v>0</v>
      </c>
      <c r="AJ81" s="37">
        <v>2</v>
      </c>
      <c r="AK81" s="38">
        <v>421.24110000000002</v>
      </c>
      <c r="AL81" s="39">
        <v>229</v>
      </c>
      <c r="AM81" s="32">
        <v>650</v>
      </c>
      <c r="AN81" s="39"/>
      <c r="AO81" s="39"/>
      <c r="AP81" s="39"/>
      <c r="AQ81" s="50"/>
      <c r="AS81" s="1"/>
    </row>
    <row r="82" spans="1:45" s="26" customFormat="1" ht="15">
      <c r="A82" s="1">
        <v>20</v>
      </c>
      <c r="B82" s="1">
        <v>19</v>
      </c>
      <c r="C82" s="1"/>
      <c r="D82" s="1"/>
      <c r="E82" s="61" t="s">
        <v>275</v>
      </c>
      <c r="F82" s="29" t="s">
        <v>57</v>
      </c>
      <c r="G82" s="29"/>
      <c r="H82" s="29"/>
      <c r="I82" s="29"/>
      <c r="J82" s="29">
        <v>168</v>
      </c>
      <c r="K82" s="29">
        <v>184</v>
      </c>
      <c r="L82" s="29"/>
      <c r="M82" s="32">
        <f t="shared" si="9"/>
        <v>352</v>
      </c>
      <c r="N82" s="32" t="s">
        <v>1330</v>
      </c>
      <c r="O82" s="32"/>
      <c r="P82" s="32">
        <f t="shared" si="10"/>
        <v>351.99239999999998</v>
      </c>
      <c r="Q82" s="32">
        <f t="shared" si="11"/>
        <v>2</v>
      </c>
      <c r="R82" s="32">
        <f t="shared" ca="1" si="12"/>
        <v>0</v>
      </c>
      <c r="S82" s="33" t="s">
        <v>31</v>
      </c>
      <c r="T82" s="34">
        <f t="shared" si="13"/>
        <v>0</v>
      </c>
      <c r="U82" s="34">
        <f t="shared" ca="1" si="14"/>
        <v>184</v>
      </c>
      <c r="V82" s="34">
        <f>-SUMPRODUCT((S$6:S81=S82)*(X$6:X81=X82))</f>
        <v>0</v>
      </c>
      <c r="W82" s="34">
        <f>-SUMPRODUCT((S$6:S81=S82)*(X$6:X81=X82)*(B$6:B81&lt;&gt;"NS"))</f>
        <v>0</v>
      </c>
      <c r="X82" s="35">
        <f t="shared" si="15"/>
        <v>352.20080000000002</v>
      </c>
      <c r="Y82" s="29">
        <v>184</v>
      </c>
      <c r="Z82" s="29">
        <v>168</v>
      </c>
      <c r="AA82" s="29"/>
      <c r="AB82" s="29"/>
      <c r="AC82" s="29"/>
      <c r="AD82" s="29"/>
      <c r="AF82" s="36">
        <v>0</v>
      </c>
      <c r="AG82" s="36">
        <v>0</v>
      </c>
      <c r="AH82" s="36">
        <v>0</v>
      </c>
      <c r="AI82" s="36">
        <v>0</v>
      </c>
      <c r="AJ82" s="37">
        <v>1</v>
      </c>
      <c r="AK82" s="38">
        <v>168.1592</v>
      </c>
      <c r="AL82" s="39">
        <v>168</v>
      </c>
      <c r="AM82" s="32">
        <v>336</v>
      </c>
      <c r="AN82" s="39"/>
      <c r="AO82" s="39"/>
      <c r="AP82" s="39"/>
      <c r="AQ82" s="50"/>
      <c r="AS82" s="1"/>
    </row>
    <row r="83" spans="1:45" s="26" customFormat="1" ht="15">
      <c r="A83" s="1">
        <v>21</v>
      </c>
      <c r="B83" s="1">
        <v>20</v>
      </c>
      <c r="C83" s="1"/>
      <c r="D83" s="1"/>
      <c r="E83" s="61" t="s">
        <v>455</v>
      </c>
      <c r="F83" s="29" t="s">
        <v>66</v>
      </c>
      <c r="G83" s="29">
        <v>153</v>
      </c>
      <c r="H83" s="29">
        <v>182</v>
      </c>
      <c r="I83" s="29"/>
      <c r="J83" s="29"/>
      <c r="K83" s="29"/>
      <c r="L83" s="29"/>
      <c r="M83" s="32">
        <f t="shared" si="9"/>
        <v>335</v>
      </c>
      <c r="N83" s="32" t="s">
        <v>1330</v>
      </c>
      <c r="O83" s="32"/>
      <c r="P83" s="32">
        <f t="shared" si="10"/>
        <v>334.9923</v>
      </c>
      <c r="Q83" s="32">
        <f t="shared" si="11"/>
        <v>2</v>
      </c>
      <c r="R83" s="32">
        <f t="shared" ca="1" si="12"/>
        <v>0</v>
      </c>
      <c r="S83" s="33" t="s">
        <v>31</v>
      </c>
      <c r="T83" s="34">
        <f t="shared" si="13"/>
        <v>0</v>
      </c>
      <c r="U83" s="34">
        <f t="shared" ca="1" si="14"/>
        <v>0</v>
      </c>
      <c r="V83" s="34">
        <f>-SUMPRODUCT((S$6:S82=S83)*(X$6:X82=X83))</f>
        <v>0</v>
      </c>
      <c r="W83" s="34">
        <f>-SUMPRODUCT((S$6:S82=S83)*(X$6:X82=X83)*(B$6:B82&lt;&gt;"NS"))</f>
        <v>0</v>
      </c>
      <c r="X83" s="35">
        <f t="shared" si="15"/>
        <v>335.19729999999998</v>
      </c>
      <c r="Y83" s="29">
        <v>182</v>
      </c>
      <c r="Z83" s="29">
        <v>153</v>
      </c>
      <c r="AA83" s="29"/>
      <c r="AB83" s="29"/>
      <c r="AC83" s="29"/>
      <c r="AD83" s="29"/>
      <c r="AF83" s="36">
        <v>0</v>
      </c>
      <c r="AG83" s="36">
        <v>0</v>
      </c>
      <c r="AH83" s="36">
        <v>0</v>
      </c>
      <c r="AI83" s="36">
        <v>0</v>
      </c>
      <c r="AJ83" s="37">
        <v>2</v>
      </c>
      <c r="AK83" s="38">
        <v>335.19010000000003</v>
      </c>
      <c r="AL83" s="39">
        <v>182</v>
      </c>
      <c r="AM83" s="32">
        <v>517</v>
      </c>
      <c r="AN83" s="39"/>
      <c r="AO83" s="39"/>
      <c r="AP83" s="39"/>
      <c r="AQ83" s="50"/>
      <c r="AS83" s="1"/>
    </row>
    <row r="84" spans="1:45" s="26" customFormat="1" ht="15">
      <c r="A84" s="1">
        <v>22</v>
      </c>
      <c r="B84" s="1">
        <v>21</v>
      </c>
      <c r="C84" s="1"/>
      <c r="D84" s="1"/>
      <c r="E84" s="61" t="s">
        <v>456</v>
      </c>
      <c r="F84" s="29" t="s">
        <v>134</v>
      </c>
      <c r="G84" s="29"/>
      <c r="H84" s="29"/>
      <c r="I84" s="29">
        <v>292</v>
      </c>
      <c r="J84" s="29"/>
      <c r="K84" s="29"/>
      <c r="L84" s="29"/>
      <c r="M84" s="32">
        <f t="shared" si="9"/>
        <v>292</v>
      </c>
      <c r="N84" s="32" t="s">
        <v>1330</v>
      </c>
      <c r="O84" s="32"/>
      <c r="P84" s="32">
        <f t="shared" si="10"/>
        <v>291.99220000000003</v>
      </c>
      <c r="Q84" s="32">
        <f t="shared" si="11"/>
        <v>1</v>
      </c>
      <c r="R84" s="32">
        <f t="shared" ca="1" si="12"/>
        <v>0</v>
      </c>
      <c r="S84" s="33" t="s">
        <v>31</v>
      </c>
      <c r="T84" s="34">
        <f t="shared" si="13"/>
        <v>0</v>
      </c>
      <c r="U84" s="34">
        <f t="shared" ca="1" si="14"/>
        <v>0</v>
      </c>
      <c r="V84" s="34">
        <f>-SUMPRODUCT((S$6:S83=S84)*(X$6:X83=X84))</f>
        <v>0</v>
      </c>
      <c r="W84" s="34">
        <f>-SUMPRODUCT((S$6:S83=S84)*(X$6:X83=X84)*(B$6:B83&lt;&gt;"NS"))</f>
        <v>0</v>
      </c>
      <c r="X84" s="35">
        <f t="shared" si="15"/>
        <v>292.29199999999997</v>
      </c>
      <c r="Y84" s="29">
        <v>292</v>
      </c>
      <c r="Z84" s="29"/>
      <c r="AA84" s="29"/>
      <c r="AB84" s="29"/>
      <c r="AC84" s="29"/>
      <c r="AD84" s="29"/>
      <c r="AF84" s="36">
        <v>0</v>
      </c>
      <c r="AG84" s="36">
        <v>0</v>
      </c>
      <c r="AH84" s="36">
        <v>0</v>
      </c>
      <c r="AI84" s="36">
        <v>0</v>
      </c>
      <c r="AJ84" s="37">
        <v>1</v>
      </c>
      <c r="AK84" s="38">
        <v>292.28459999999995</v>
      </c>
      <c r="AL84" s="39">
        <v>292</v>
      </c>
      <c r="AM84" s="32">
        <v>584</v>
      </c>
      <c r="AN84" s="39"/>
      <c r="AO84" s="39"/>
      <c r="AP84" s="39"/>
      <c r="AQ84" s="50"/>
      <c r="AS84" s="1"/>
    </row>
    <row r="85" spans="1:45" s="26" customFormat="1" ht="15">
      <c r="A85" s="1">
        <v>23</v>
      </c>
      <c r="B85" s="1">
        <v>22</v>
      </c>
      <c r="C85" s="1"/>
      <c r="D85" s="1"/>
      <c r="E85" s="61" t="s">
        <v>457</v>
      </c>
      <c r="F85" s="29" t="s">
        <v>61</v>
      </c>
      <c r="G85" s="29">
        <v>286</v>
      </c>
      <c r="H85" s="29"/>
      <c r="I85" s="29"/>
      <c r="J85" s="29"/>
      <c r="K85" s="29"/>
      <c r="L85" s="29"/>
      <c r="M85" s="32">
        <f t="shared" si="9"/>
        <v>286</v>
      </c>
      <c r="N85" s="32" t="s">
        <v>1330</v>
      </c>
      <c r="O85" s="32"/>
      <c r="P85" s="32">
        <f t="shared" si="10"/>
        <v>285.99209999999999</v>
      </c>
      <c r="Q85" s="32">
        <f t="shared" si="11"/>
        <v>1</v>
      </c>
      <c r="R85" s="32">
        <f t="shared" ca="1" si="12"/>
        <v>0</v>
      </c>
      <c r="S85" s="33" t="s">
        <v>31</v>
      </c>
      <c r="T85" s="34">
        <f t="shared" si="13"/>
        <v>0</v>
      </c>
      <c r="U85" s="34">
        <f t="shared" ca="1" si="14"/>
        <v>0</v>
      </c>
      <c r="V85" s="34">
        <f>-SUMPRODUCT((S$6:S84=S85)*(X$6:X84=X85))</f>
        <v>0</v>
      </c>
      <c r="W85" s="34">
        <f>-SUMPRODUCT((S$6:S84=S85)*(X$6:X84=X85)*(B$6:B84&lt;&gt;"NS"))</f>
        <v>0</v>
      </c>
      <c r="X85" s="35">
        <f t="shared" si="15"/>
        <v>286.286</v>
      </c>
      <c r="Y85" s="29">
        <v>286</v>
      </c>
      <c r="Z85" s="29"/>
      <c r="AA85" s="29"/>
      <c r="AB85" s="29"/>
      <c r="AC85" s="29"/>
      <c r="AD85" s="29"/>
      <c r="AF85" s="36">
        <v>0</v>
      </c>
      <c r="AG85" s="36">
        <v>0</v>
      </c>
      <c r="AH85" s="36">
        <v>0</v>
      </c>
      <c r="AI85" s="36">
        <v>0</v>
      </c>
      <c r="AJ85" s="37">
        <v>1</v>
      </c>
      <c r="AK85" s="38">
        <v>286.27850000000001</v>
      </c>
      <c r="AL85" s="39">
        <v>286</v>
      </c>
      <c r="AM85" s="32">
        <v>572</v>
      </c>
      <c r="AN85" s="39"/>
      <c r="AO85" s="39"/>
      <c r="AP85" s="39"/>
      <c r="AQ85" s="50"/>
      <c r="AS85" s="1"/>
    </row>
    <row r="86" spans="1:45" s="26" customFormat="1" ht="15">
      <c r="A86" s="1">
        <v>24</v>
      </c>
      <c r="B86" s="1">
        <v>23</v>
      </c>
      <c r="C86" s="1"/>
      <c r="D86" s="1"/>
      <c r="E86" s="61" t="s">
        <v>458</v>
      </c>
      <c r="F86" s="29" t="s">
        <v>76</v>
      </c>
      <c r="G86" s="29">
        <v>273</v>
      </c>
      <c r="H86" s="29"/>
      <c r="I86" s="29"/>
      <c r="J86" s="29"/>
      <c r="K86" s="29"/>
      <c r="L86" s="29"/>
      <c r="M86" s="32">
        <f t="shared" si="9"/>
        <v>273</v>
      </c>
      <c r="N86" s="32" t="s">
        <v>1330</v>
      </c>
      <c r="O86" s="32"/>
      <c r="P86" s="32">
        <f t="shared" si="10"/>
        <v>272.99200000000002</v>
      </c>
      <c r="Q86" s="32">
        <f t="shared" si="11"/>
        <v>1</v>
      </c>
      <c r="R86" s="32">
        <f t="shared" ca="1" si="12"/>
        <v>0</v>
      </c>
      <c r="S86" s="33" t="s">
        <v>31</v>
      </c>
      <c r="T86" s="34">
        <f t="shared" si="13"/>
        <v>0</v>
      </c>
      <c r="U86" s="34">
        <f t="shared" ca="1" si="14"/>
        <v>0</v>
      </c>
      <c r="V86" s="34">
        <f>-SUMPRODUCT((S$6:S85=S86)*(X$6:X85=X86))</f>
        <v>0</v>
      </c>
      <c r="W86" s="34">
        <f>-SUMPRODUCT((S$6:S85=S86)*(X$6:X85=X86)*(B$6:B85&lt;&gt;"NS"))</f>
        <v>0</v>
      </c>
      <c r="X86" s="35">
        <f t="shared" si="15"/>
        <v>273.27300000000002</v>
      </c>
      <c r="Y86" s="29">
        <v>273</v>
      </c>
      <c r="Z86" s="29"/>
      <c r="AA86" s="29"/>
      <c r="AB86" s="29"/>
      <c r="AC86" s="29"/>
      <c r="AD86" s="29"/>
      <c r="AF86" s="36">
        <v>0</v>
      </c>
      <c r="AG86" s="36">
        <v>0</v>
      </c>
      <c r="AH86" s="36">
        <v>0</v>
      </c>
      <c r="AI86" s="36">
        <v>0</v>
      </c>
      <c r="AJ86" s="37">
        <v>1</v>
      </c>
      <c r="AK86" s="38">
        <v>273.2654</v>
      </c>
      <c r="AL86" s="39">
        <v>273</v>
      </c>
      <c r="AM86" s="32">
        <v>546</v>
      </c>
      <c r="AN86" s="39"/>
      <c r="AO86" s="39"/>
      <c r="AP86" s="39"/>
      <c r="AQ86" s="50"/>
      <c r="AS86" s="1"/>
    </row>
    <row r="87" spans="1:45" s="26" customFormat="1" ht="15">
      <c r="A87" s="1">
        <v>25</v>
      </c>
      <c r="B87" s="1">
        <v>24</v>
      </c>
      <c r="C87" s="1"/>
      <c r="D87" s="1"/>
      <c r="E87" s="61" t="s">
        <v>459</v>
      </c>
      <c r="F87" s="29" t="s">
        <v>38</v>
      </c>
      <c r="G87" s="29"/>
      <c r="H87" s="29">
        <v>267</v>
      </c>
      <c r="I87" s="29"/>
      <c r="J87" s="29"/>
      <c r="K87" s="29"/>
      <c r="L87" s="29"/>
      <c r="M87" s="32">
        <f t="shared" si="9"/>
        <v>267</v>
      </c>
      <c r="N87" s="32" t="s">
        <v>1330</v>
      </c>
      <c r="O87" s="32"/>
      <c r="P87" s="32">
        <f t="shared" si="10"/>
        <v>266.99189999999999</v>
      </c>
      <c r="Q87" s="32">
        <f t="shared" si="11"/>
        <v>1</v>
      </c>
      <c r="R87" s="32">
        <f t="shared" ca="1" si="12"/>
        <v>0</v>
      </c>
      <c r="S87" s="33" t="s">
        <v>31</v>
      </c>
      <c r="T87" s="34">
        <f t="shared" si="13"/>
        <v>0</v>
      </c>
      <c r="U87" s="34">
        <f t="shared" ca="1" si="14"/>
        <v>0</v>
      </c>
      <c r="V87" s="34">
        <f>-SUMPRODUCT((S$6:S86=S87)*(X$6:X86=X87))</f>
        <v>0</v>
      </c>
      <c r="W87" s="34">
        <f>-SUMPRODUCT((S$6:S86=S87)*(X$6:X86=X87)*(B$6:B86&lt;&gt;"NS"))</f>
        <v>0</v>
      </c>
      <c r="X87" s="35">
        <f t="shared" si="15"/>
        <v>267.267</v>
      </c>
      <c r="Y87" s="29">
        <v>267</v>
      </c>
      <c r="Z87" s="29"/>
      <c r="AA87" s="29"/>
      <c r="AB87" s="29"/>
      <c r="AC87" s="29"/>
      <c r="AD87" s="29"/>
      <c r="AF87" s="36">
        <v>0</v>
      </c>
      <c r="AG87" s="36">
        <v>0</v>
      </c>
      <c r="AH87" s="36">
        <v>0</v>
      </c>
      <c r="AI87" s="36">
        <v>0</v>
      </c>
      <c r="AJ87" s="37">
        <v>1</v>
      </c>
      <c r="AK87" s="38">
        <v>267.2593</v>
      </c>
      <c r="AL87" s="39">
        <v>267</v>
      </c>
      <c r="AM87" s="32">
        <v>534</v>
      </c>
      <c r="AN87" s="39"/>
      <c r="AO87" s="39"/>
      <c r="AP87" s="39"/>
      <c r="AQ87" s="50"/>
      <c r="AS87" s="1"/>
    </row>
    <row r="88" spans="1:45" s="26" customFormat="1" ht="15">
      <c r="A88" s="1">
        <v>26</v>
      </c>
      <c r="B88" s="1">
        <v>25</v>
      </c>
      <c r="C88" s="1"/>
      <c r="D88" s="1"/>
      <c r="E88" s="61" t="s">
        <v>460</v>
      </c>
      <c r="F88" s="29" t="s">
        <v>57</v>
      </c>
      <c r="G88" s="29"/>
      <c r="H88" s="29"/>
      <c r="I88" s="29"/>
      <c r="J88" s="29">
        <v>242</v>
      </c>
      <c r="K88" s="29"/>
      <c r="L88" s="29"/>
      <c r="M88" s="32">
        <f t="shared" si="9"/>
        <v>242</v>
      </c>
      <c r="N88" s="32" t="s">
        <v>1330</v>
      </c>
      <c r="O88" s="32"/>
      <c r="P88" s="32">
        <f t="shared" si="10"/>
        <v>241.99180000000001</v>
      </c>
      <c r="Q88" s="32">
        <f t="shared" si="11"/>
        <v>1</v>
      </c>
      <c r="R88" s="32">
        <f t="shared" ca="1" si="12"/>
        <v>0</v>
      </c>
      <c r="S88" s="33" t="s">
        <v>31</v>
      </c>
      <c r="T88" s="34">
        <f t="shared" si="13"/>
        <v>0</v>
      </c>
      <c r="U88" s="34">
        <f t="shared" ca="1" si="14"/>
        <v>0</v>
      </c>
      <c r="V88" s="34">
        <f>-SUMPRODUCT((S$6:S87=S88)*(X$6:X87=X88))</f>
        <v>0</v>
      </c>
      <c r="W88" s="34">
        <f>-SUMPRODUCT((S$6:S87=S88)*(X$6:X87=X88)*(B$6:B87&lt;&gt;"NS"))</f>
        <v>0</v>
      </c>
      <c r="X88" s="35">
        <f t="shared" si="15"/>
        <v>242.24199999999999</v>
      </c>
      <c r="Y88" s="29">
        <v>242</v>
      </c>
      <c r="Z88" s="29"/>
      <c r="AA88" s="29"/>
      <c r="AB88" s="29"/>
      <c r="AC88" s="29"/>
      <c r="AD88" s="29"/>
      <c r="AF88" s="36">
        <v>0</v>
      </c>
      <c r="AG88" s="36">
        <v>0</v>
      </c>
      <c r="AH88" s="36">
        <v>0</v>
      </c>
      <c r="AI88" s="36">
        <v>0</v>
      </c>
      <c r="AJ88" s="37">
        <v>1</v>
      </c>
      <c r="AK88" s="38">
        <v>242.23419999999999</v>
      </c>
      <c r="AL88" s="39">
        <v>242</v>
      </c>
      <c r="AM88" s="32">
        <v>484</v>
      </c>
      <c r="AN88" s="39"/>
      <c r="AO88" s="39"/>
      <c r="AP88" s="39"/>
      <c r="AQ88" s="50"/>
      <c r="AS88" s="1"/>
    </row>
    <row r="89" spans="1:45" s="26" customFormat="1" ht="15">
      <c r="A89" s="1">
        <v>27</v>
      </c>
      <c r="B89" s="1">
        <v>26</v>
      </c>
      <c r="C89" s="1"/>
      <c r="D89" s="1"/>
      <c r="E89" s="61" t="s">
        <v>461</v>
      </c>
      <c r="F89" s="29" t="s">
        <v>50</v>
      </c>
      <c r="G89" s="29"/>
      <c r="H89" s="29"/>
      <c r="I89" s="29">
        <v>241</v>
      </c>
      <c r="J89" s="29"/>
      <c r="K89" s="29"/>
      <c r="L89" s="29"/>
      <c r="M89" s="32">
        <f t="shared" si="9"/>
        <v>241</v>
      </c>
      <c r="N89" s="32" t="s">
        <v>1330</v>
      </c>
      <c r="O89" s="32"/>
      <c r="P89" s="32">
        <f t="shared" si="10"/>
        <v>240.99170000000001</v>
      </c>
      <c r="Q89" s="32">
        <f t="shared" si="11"/>
        <v>1</v>
      </c>
      <c r="R89" s="32">
        <f t="shared" ca="1" si="12"/>
        <v>0</v>
      </c>
      <c r="S89" s="33" t="s">
        <v>31</v>
      </c>
      <c r="T89" s="34">
        <f t="shared" si="13"/>
        <v>0</v>
      </c>
      <c r="U89" s="34">
        <f t="shared" ca="1" si="14"/>
        <v>0</v>
      </c>
      <c r="V89" s="34">
        <f>-SUMPRODUCT((S$6:S88=S89)*(X$6:X88=X89))</f>
        <v>0</v>
      </c>
      <c r="W89" s="34">
        <f>-SUMPRODUCT((S$6:S88=S89)*(X$6:X88=X89)*(B$6:B88&lt;&gt;"NS"))</f>
        <v>0</v>
      </c>
      <c r="X89" s="35">
        <f t="shared" si="15"/>
        <v>241.24100000000001</v>
      </c>
      <c r="Y89" s="29">
        <v>241</v>
      </c>
      <c r="Z89" s="29"/>
      <c r="AA89" s="29"/>
      <c r="AB89" s="29"/>
      <c r="AC89" s="29"/>
      <c r="AD89" s="29"/>
      <c r="AF89" s="36">
        <v>0</v>
      </c>
      <c r="AG89" s="36">
        <v>0</v>
      </c>
      <c r="AH89" s="36">
        <v>0</v>
      </c>
      <c r="AI89" s="36">
        <v>0</v>
      </c>
      <c r="AJ89" s="37">
        <v>1</v>
      </c>
      <c r="AK89" s="38">
        <v>241.23310000000001</v>
      </c>
      <c r="AL89" s="39">
        <v>241</v>
      </c>
      <c r="AM89" s="32">
        <v>482</v>
      </c>
      <c r="AN89" s="39"/>
      <c r="AO89" s="39"/>
      <c r="AP89" s="39"/>
      <c r="AQ89" s="50"/>
      <c r="AS89" s="1"/>
    </row>
    <row r="90" spans="1:45" s="26" customFormat="1" ht="15">
      <c r="A90" s="1">
        <v>28</v>
      </c>
      <c r="B90" s="1">
        <v>27</v>
      </c>
      <c r="C90" s="1"/>
      <c r="D90" s="1"/>
      <c r="E90" s="61" t="s">
        <v>165</v>
      </c>
      <c r="F90" s="29" t="s">
        <v>76</v>
      </c>
      <c r="G90" s="29"/>
      <c r="H90" s="29"/>
      <c r="I90" s="29"/>
      <c r="J90" s="29"/>
      <c r="K90" s="29">
        <v>237</v>
      </c>
      <c r="L90" s="29"/>
      <c r="M90" s="32">
        <f t="shared" si="9"/>
        <v>237</v>
      </c>
      <c r="N90" s="32" t="s">
        <v>1330</v>
      </c>
      <c r="O90" s="32"/>
      <c r="P90" s="32">
        <f t="shared" si="10"/>
        <v>236.99160000000001</v>
      </c>
      <c r="Q90" s="32">
        <f t="shared" si="11"/>
        <v>1</v>
      </c>
      <c r="R90" s="32" t="str">
        <f t="shared" ca="1" si="12"/>
        <v>Y</v>
      </c>
      <c r="S90" s="33" t="s">
        <v>31</v>
      </c>
      <c r="T90" s="34">
        <f t="shared" si="13"/>
        <v>0</v>
      </c>
      <c r="U90" s="34">
        <f t="shared" ca="1" si="14"/>
        <v>237</v>
      </c>
      <c r="V90" s="34">
        <f>-SUMPRODUCT((S$6:S89=S90)*(X$6:X89=X90))</f>
        <v>0</v>
      </c>
      <c r="W90" s="34">
        <f>-SUMPRODUCT((S$6:S89=S90)*(X$6:X89=X90)*(B$6:B89&lt;&gt;"NS"))</f>
        <v>0</v>
      </c>
      <c r="X90" s="35">
        <f t="shared" si="15"/>
        <v>237.23699999999999</v>
      </c>
      <c r="Y90" s="29">
        <v>237</v>
      </c>
      <c r="Z90" s="29"/>
      <c r="AA90" s="29"/>
      <c r="AB90" s="29"/>
      <c r="AC90" s="29"/>
      <c r="AD90" s="29"/>
      <c r="AF90" s="36"/>
      <c r="AG90" s="36"/>
      <c r="AH90" s="36"/>
      <c r="AI90" s="36"/>
      <c r="AJ90" s="37"/>
      <c r="AK90" s="38"/>
      <c r="AL90" s="39"/>
      <c r="AM90" s="32"/>
      <c r="AN90" s="39"/>
      <c r="AO90" s="39"/>
      <c r="AP90" s="39"/>
      <c r="AQ90" s="50"/>
      <c r="AS90" s="1"/>
    </row>
    <row r="91" spans="1:45" s="26" customFormat="1" ht="15">
      <c r="A91" s="1">
        <v>29</v>
      </c>
      <c r="B91" s="1">
        <v>28</v>
      </c>
      <c r="C91" s="1"/>
      <c r="D91" s="1"/>
      <c r="E91" s="61" t="s">
        <v>462</v>
      </c>
      <c r="F91" s="29" t="s">
        <v>66</v>
      </c>
      <c r="G91" s="29"/>
      <c r="H91" s="29">
        <v>234</v>
      </c>
      <c r="I91" s="29"/>
      <c r="J91" s="29"/>
      <c r="K91" s="29"/>
      <c r="L91" s="29"/>
      <c r="M91" s="32">
        <f t="shared" si="9"/>
        <v>234</v>
      </c>
      <c r="N91" s="32" t="s">
        <v>1330</v>
      </c>
      <c r="O91" s="32"/>
      <c r="P91" s="32">
        <f t="shared" si="10"/>
        <v>233.9915</v>
      </c>
      <c r="Q91" s="32">
        <f t="shared" si="11"/>
        <v>1</v>
      </c>
      <c r="R91" s="32">
        <f t="shared" ca="1" si="12"/>
        <v>0</v>
      </c>
      <c r="S91" s="33" t="s">
        <v>31</v>
      </c>
      <c r="T91" s="34">
        <f t="shared" si="13"/>
        <v>0</v>
      </c>
      <c r="U91" s="34">
        <f t="shared" ca="1" si="14"/>
        <v>0</v>
      </c>
      <c r="V91" s="34">
        <f>-SUMPRODUCT((S$6:S90=S91)*(X$6:X90=X91))</f>
        <v>0</v>
      </c>
      <c r="W91" s="34">
        <f>-SUMPRODUCT((S$6:S90=S91)*(X$6:X90=X91)*(B$6:B90&lt;&gt;"NS"))</f>
        <v>0</v>
      </c>
      <c r="X91" s="35">
        <f t="shared" si="15"/>
        <v>234.23400000000001</v>
      </c>
      <c r="Y91" s="29">
        <v>234</v>
      </c>
      <c r="Z91" s="29"/>
      <c r="AA91" s="29"/>
      <c r="AB91" s="29"/>
      <c r="AC91" s="29"/>
      <c r="AD91" s="29"/>
      <c r="AF91" s="36">
        <v>0</v>
      </c>
      <c r="AG91" s="36">
        <v>0</v>
      </c>
      <c r="AH91" s="36">
        <v>0</v>
      </c>
      <c r="AI91" s="36">
        <v>0</v>
      </c>
      <c r="AJ91" s="37">
        <v>1</v>
      </c>
      <c r="AK91" s="38">
        <v>234.226</v>
      </c>
      <c r="AL91" s="39">
        <v>234</v>
      </c>
      <c r="AM91" s="32">
        <v>468</v>
      </c>
      <c r="AN91" s="39"/>
      <c r="AO91" s="39"/>
      <c r="AP91" s="39"/>
      <c r="AQ91" s="50"/>
      <c r="AS91" s="1"/>
    </row>
    <row r="92" spans="1:45" s="26" customFormat="1" ht="15">
      <c r="A92" s="1">
        <v>30</v>
      </c>
      <c r="B92" s="1">
        <v>29</v>
      </c>
      <c r="C92" s="1"/>
      <c r="D92" s="1"/>
      <c r="E92" s="61" t="s">
        <v>463</v>
      </c>
      <c r="F92" s="29" t="s">
        <v>53</v>
      </c>
      <c r="G92" s="29">
        <v>232</v>
      </c>
      <c r="H92" s="29"/>
      <c r="I92" s="29"/>
      <c r="J92" s="29"/>
      <c r="K92" s="29"/>
      <c r="L92" s="29"/>
      <c r="M92" s="32">
        <f t="shared" si="9"/>
        <v>232</v>
      </c>
      <c r="N92" s="32" t="s">
        <v>1330</v>
      </c>
      <c r="O92" s="32"/>
      <c r="P92" s="32">
        <f t="shared" si="10"/>
        <v>231.9914</v>
      </c>
      <c r="Q92" s="32">
        <f t="shared" si="11"/>
        <v>1</v>
      </c>
      <c r="R92" s="32">
        <f t="shared" ca="1" si="12"/>
        <v>0</v>
      </c>
      <c r="S92" s="33" t="s">
        <v>31</v>
      </c>
      <c r="T92" s="34">
        <f t="shared" si="13"/>
        <v>0</v>
      </c>
      <c r="U92" s="34">
        <f t="shared" ca="1" si="14"/>
        <v>0</v>
      </c>
      <c r="V92" s="34">
        <f>-SUMPRODUCT((S$6:S91=S92)*(X$6:X91=X92))</f>
        <v>0</v>
      </c>
      <c r="W92" s="34">
        <f>-SUMPRODUCT((S$6:S91=S92)*(X$6:X91=X92)*(B$6:B91&lt;&gt;"NS"))</f>
        <v>0</v>
      </c>
      <c r="X92" s="35">
        <f t="shared" si="15"/>
        <v>232.232</v>
      </c>
      <c r="Y92" s="29">
        <v>232</v>
      </c>
      <c r="Z92" s="29"/>
      <c r="AA92" s="29"/>
      <c r="AB92" s="29"/>
      <c r="AC92" s="29"/>
      <c r="AD92" s="29"/>
      <c r="AF92" s="36">
        <v>0</v>
      </c>
      <c r="AG92" s="36">
        <v>0</v>
      </c>
      <c r="AH92" s="36">
        <v>0</v>
      </c>
      <c r="AI92" s="36">
        <v>0</v>
      </c>
      <c r="AJ92" s="37">
        <v>1</v>
      </c>
      <c r="AK92" s="38">
        <v>232.22389999999999</v>
      </c>
      <c r="AL92" s="39">
        <v>232</v>
      </c>
      <c r="AM92" s="32">
        <v>464</v>
      </c>
      <c r="AN92" s="39"/>
      <c r="AO92" s="39"/>
      <c r="AP92" s="39"/>
      <c r="AQ92" s="50"/>
      <c r="AS92" s="1"/>
    </row>
    <row r="93" spans="1:45" s="26" customFormat="1" ht="15">
      <c r="A93" s="1">
        <v>31</v>
      </c>
      <c r="B93" s="1">
        <v>30</v>
      </c>
      <c r="C93" s="1"/>
      <c r="D93" s="1"/>
      <c r="E93" s="61" t="s">
        <v>464</v>
      </c>
      <c r="F93" s="29" t="s">
        <v>162</v>
      </c>
      <c r="G93" s="29"/>
      <c r="H93" s="29"/>
      <c r="I93" s="29"/>
      <c r="J93" s="29">
        <v>231</v>
      </c>
      <c r="K93" s="29"/>
      <c r="L93" s="29"/>
      <c r="M93" s="32">
        <f t="shared" si="9"/>
        <v>231</v>
      </c>
      <c r="N93" s="32" t="s">
        <v>1330</v>
      </c>
      <c r="O93" s="32"/>
      <c r="P93" s="32">
        <f t="shared" si="10"/>
        <v>230.9913</v>
      </c>
      <c r="Q93" s="32">
        <f t="shared" si="11"/>
        <v>1</v>
      </c>
      <c r="R93" s="32">
        <f t="shared" ca="1" si="12"/>
        <v>0</v>
      </c>
      <c r="S93" s="33" t="s">
        <v>31</v>
      </c>
      <c r="T93" s="34">
        <f t="shared" si="13"/>
        <v>0</v>
      </c>
      <c r="U93" s="34">
        <f t="shared" ca="1" si="14"/>
        <v>0</v>
      </c>
      <c r="V93" s="34">
        <f>-SUMPRODUCT((S$6:S92=S93)*(X$6:X92=X93))</f>
        <v>0</v>
      </c>
      <c r="W93" s="34">
        <f>-SUMPRODUCT((S$6:S92=S93)*(X$6:X92=X93)*(B$6:B92&lt;&gt;"NS"))</f>
        <v>0</v>
      </c>
      <c r="X93" s="35">
        <f t="shared" si="15"/>
        <v>231.23099999999999</v>
      </c>
      <c r="Y93" s="29">
        <v>231</v>
      </c>
      <c r="Z93" s="29"/>
      <c r="AA93" s="29"/>
      <c r="AB93" s="29"/>
      <c r="AC93" s="29"/>
      <c r="AD93" s="29"/>
      <c r="AF93" s="36">
        <v>0</v>
      </c>
      <c r="AG93" s="36">
        <v>0</v>
      </c>
      <c r="AH93" s="36">
        <v>0</v>
      </c>
      <c r="AI93" s="36">
        <v>0</v>
      </c>
      <c r="AJ93" s="37">
        <v>1</v>
      </c>
      <c r="AK93" s="38">
        <v>231.22280000000001</v>
      </c>
      <c r="AL93" s="39">
        <v>231</v>
      </c>
      <c r="AM93" s="32">
        <v>462</v>
      </c>
      <c r="AN93" s="39"/>
      <c r="AO93" s="39"/>
      <c r="AP93" s="39"/>
      <c r="AQ93" s="50"/>
      <c r="AS93" s="1"/>
    </row>
    <row r="94" spans="1:45" s="26" customFormat="1" ht="15">
      <c r="A94" s="1">
        <v>32</v>
      </c>
      <c r="B94" s="1">
        <v>31</v>
      </c>
      <c r="C94" s="1"/>
      <c r="D94" s="1"/>
      <c r="E94" s="61" t="s">
        <v>465</v>
      </c>
      <c r="F94" s="29" t="s">
        <v>38</v>
      </c>
      <c r="G94" s="29"/>
      <c r="H94" s="29">
        <v>101</v>
      </c>
      <c r="I94" s="29">
        <v>130</v>
      </c>
      <c r="J94" s="29"/>
      <c r="K94" s="29"/>
      <c r="L94" s="29"/>
      <c r="M94" s="32">
        <f t="shared" si="9"/>
        <v>231</v>
      </c>
      <c r="N94" s="32" t="s">
        <v>1330</v>
      </c>
      <c r="O94" s="32"/>
      <c r="P94" s="32">
        <f t="shared" si="10"/>
        <v>230.99119999999999</v>
      </c>
      <c r="Q94" s="32">
        <f t="shared" si="11"/>
        <v>2</v>
      </c>
      <c r="R94" s="32">
        <f t="shared" ca="1" si="12"/>
        <v>0</v>
      </c>
      <c r="S94" s="33" t="s">
        <v>31</v>
      </c>
      <c r="T94" s="34">
        <f t="shared" si="13"/>
        <v>0</v>
      </c>
      <c r="U94" s="34">
        <f t="shared" ca="1" si="14"/>
        <v>0</v>
      </c>
      <c r="V94" s="34">
        <f>-SUMPRODUCT((S$6:S93=S94)*(X$6:X93=X94))</f>
        <v>0</v>
      </c>
      <c r="W94" s="34">
        <f>-SUMPRODUCT((S$6:S93=S94)*(X$6:X93=X94)*(B$6:B93&lt;&gt;"NS"))</f>
        <v>0</v>
      </c>
      <c r="X94" s="35">
        <f t="shared" si="15"/>
        <v>231.14009999999999</v>
      </c>
      <c r="Y94" s="29">
        <v>130</v>
      </c>
      <c r="Z94" s="29">
        <v>101</v>
      </c>
      <c r="AA94" s="29"/>
      <c r="AB94" s="29"/>
      <c r="AC94" s="29"/>
      <c r="AD94" s="29"/>
      <c r="AF94" s="36">
        <v>0</v>
      </c>
      <c r="AG94" s="36">
        <v>0</v>
      </c>
      <c r="AH94" s="36">
        <v>0</v>
      </c>
      <c r="AI94" s="36">
        <v>0</v>
      </c>
      <c r="AJ94" s="37">
        <v>2</v>
      </c>
      <c r="AK94" s="38">
        <v>231.1318</v>
      </c>
      <c r="AL94" s="39">
        <v>130</v>
      </c>
      <c r="AM94" s="32">
        <v>361</v>
      </c>
      <c r="AN94" s="39"/>
      <c r="AO94" s="39"/>
      <c r="AP94" s="39"/>
      <c r="AQ94" s="50"/>
      <c r="AS94" s="1"/>
    </row>
    <row r="95" spans="1:45" s="26" customFormat="1" ht="15">
      <c r="A95" s="1">
        <v>33</v>
      </c>
      <c r="B95" s="1">
        <v>32</v>
      </c>
      <c r="C95" s="1"/>
      <c r="D95" s="1"/>
      <c r="E95" s="61" t="s">
        <v>224</v>
      </c>
      <c r="F95" s="29" t="s">
        <v>38</v>
      </c>
      <c r="G95" s="29"/>
      <c r="H95" s="29"/>
      <c r="I95" s="29"/>
      <c r="J95" s="29"/>
      <c r="K95" s="29">
        <v>205</v>
      </c>
      <c r="L95" s="29"/>
      <c r="M95" s="32">
        <f t="shared" si="9"/>
        <v>205</v>
      </c>
      <c r="N95" s="32" t="s">
        <v>1330</v>
      </c>
      <c r="O95" s="32"/>
      <c r="P95" s="32">
        <f t="shared" si="10"/>
        <v>204.99109999999999</v>
      </c>
      <c r="Q95" s="32">
        <f t="shared" si="11"/>
        <v>1</v>
      </c>
      <c r="R95" s="32" t="str">
        <f t="shared" ca="1" si="12"/>
        <v>Y</v>
      </c>
      <c r="S95" s="33" t="s">
        <v>31</v>
      </c>
      <c r="T95" s="34">
        <f t="shared" si="13"/>
        <v>0</v>
      </c>
      <c r="U95" s="34">
        <f t="shared" ca="1" si="14"/>
        <v>205</v>
      </c>
      <c r="V95" s="34">
        <f>-SUMPRODUCT((S$6:S94=S95)*(X$6:X94=X95))</f>
        <v>0</v>
      </c>
      <c r="W95" s="34">
        <f>-SUMPRODUCT((S$6:S94=S95)*(X$6:X94=X95)*(B$6:B94&lt;&gt;"NS"))</f>
        <v>0</v>
      </c>
      <c r="X95" s="35">
        <f t="shared" si="15"/>
        <v>205.20500000000001</v>
      </c>
      <c r="Y95" s="29">
        <v>205</v>
      </c>
      <c r="Z95" s="29"/>
      <c r="AA95" s="29"/>
      <c r="AB95" s="29"/>
      <c r="AC95" s="29"/>
      <c r="AD95" s="29"/>
      <c r="AF95" s="36"/>
      <c r="AG95" s="36"/>
      <c r="AH95" s="36"/>
      <c r="AI95" s="36"/>
      <c r="AJ95" s="37"/>
      <c r="AK95" s="38"/>
      <c r="AL95" s="39"/>
      <c r="AM95" s="32"/>
      <c r="AN95" s="39"/>
      <c r="AO95" s="39"/>
      <c r="AP95" s="39"/>
      <c r="AQ95" s="50"/>
      <c r="AS95" s="1"/>
    </row>
    <row r="96" spans="1:45" s="26" customFormat="1" ht="15">
      <c r="A96" s="1">
        <v>34</v>
      </c>
      <c r="B96" s="1" t="s">
        <v>111</v>
      </c>
      <c r="C96" s="1"/>
      <c r="D96" s="1"/>
      <c r="E96" s="61" t="s">
        <v>466</v>
      </c>
      <c r="F96" s="29" t="s">
        <v>201</v>
      </c>
      <c r="G96" s="29">
        <v>205</v>
      </c>
      <c r="H96" s="29"/>
      <c r="I96" s="29"/>
      <c r="J96" s="29"/>
      <c r="K96" s="29"/>
      <c r="L96" s="29"/>
      <c r="M96" s="32">
        <f t="shared" si="9"/>
        <v>205</v>
      </c>
      <c r="N96" s="32" t="s">
        <v>1331</v>
      </c>
      <c r="O96" s="32"/>
      <c r="P96" s="32">
        <f t="shared" si="10"/>
        <v>204.99100000000001</v>
      </c>
      <c r="Q96" s="32">
        <f t="shared" si="11"/>
        <v>1</v>
      </c>
      <c r="R96" s="32">
        <f t="shared" ca="1" si="12"/>
        <v>0</v>
      </c>
      <c r="S96" s="33" t="s">
        <v>31</v>
      </c>
      <c r="T96" s="34">
        <f t="shared" si="13"/>
        <v>0</v>
      </c>
      <c r="U96" s="34">
        <f t="shared" ca="1" si="14"/>
        <v>0</v>
      </c>
      <c r="V96" s="34">
        <f>-SUMPRODUCT((S$6:S95=S96)*(X$6:X95=X96))</f>
        <v>-1</v>
      </c>
      <c r="W96" s="34">
        <f>-SUMPRODUCT((S$6:S95=S96)*(X$6:X95=X96)*(B$6:B95&lt;&gt;"NS"))</f>
        <v>-1</v>
      </c>
      <c r="X96" s="35">
        <f t="shared" si="15"/>
        <v>205.20500000000001</v>
      </c>
      <c r="Y96" s="29">
        <v>205</v>
      </c>
      <c r="Z96" s="29"/>
      <c r="AA96" s="29"/>
      <c r="AB96" s="29"/>
      <c r="AC96" s="29"/>
      <c r="AD96" s="29"/>
      <c r="AF96" s="36">
        <v>0</v>
      </c>
      <c r="AG96" s="36">
        <v>0</v>
      </c>
      <c r="AH96" s="36">
        <v>0</v>
      </c>
      <c r="AI96" s="36">
        <v>0</v>
      </c>
      <c r="AJ96" s="37">
        <v>1</v>
      </c>
      <c r="AK96" s="38">
        <v>205.19660000000002</v>
      </c>
      <c r="AL96" s="39">
        <v>205</v>
      </c>
      <c r="AM96" s="32">
        <v>0</v>
      </c>
      <c r="AN96" s="39"/>
      <c r="AO96" s="39"/>
      <c r="AP96" s="39"/>
      <c r="AQ96" s="50"/>
      <c r="AS96" s="1"/>
    </row>
    <row r="97" spans="1:45" s="26" customFormat="1" ht="15">
      <c r="A97" s="1">
        <v>35</v>
      </c>
      <c r="B97" s="1">
        <v>33</v>
      </c>
      <c r="C97" s="1"/>
      <c r="D97" s="1"/>
      <c r="E97" s="61" t="s">
        <v>467</v>
      </c>
      <c r="F97" s="29" t="s">
        <v>29</v>
      </c>
      <c r="G97" s="29"/>
      <c r="H97" s="29">
        <v>204</v>
      </c>
      <c r="I97" s="29"/>
      <c r="J97" s="29"/>
      <c r="K97" s="29"/>
      <c r="L97" s="29"/>
      <c r="M97" s="32">
        <f t="shared" si="9"/>
        <v>204</v>
      </c>
      <c r="N97" s="32" t="s">
        <v>1330</v>
      </c>
      <c r="O97" s="32"/>
      <c r="P97" s="32">
        <f t="shared" si="10"/>
        <v>203.99090000000001</v>
      </c>
      <c r="Q97" s="32">
        <f t="shared" si="11"/>
        <v>1</v>
      </c>
      <c r="R97" s="32">
        <f t="shared" ca="1" si="12"/>
        <v>0</v>
      </c>
      <c r="S97" s="33" t="s">
        <v>31</v>
      </c>
      <c r="T97" s="34">
        <f t="shared" si="13"/>
        <v>0</v>
      </c>
      <c r="U97" s="34">
        <f t="shared" ca="1" si="14"/>
        <v>0</v>
      </c>
      <c r="V97" s="34">
        <f>-SUMPRODUCT((S$6:S96=S97)*(X$6:X96=X97))</f>
        <v>0</v>
      </c>
      <c r="W97" s="34">
        <f>-SUMPRODUCT((S$6:S96=S97)*(X$6:X96=X97)*(B$6:B96&lt;&gt;"NS"))</f>
        <v>0</v>
      </c>
      <c r="X97" s="35">
        <f t="shared" si="15"/>
        <v>204.20400000000001</v>
      </c>
      <c r="Y97" s="29">
        <v>204</v>
      </c>
      <c r="Z97" s="29"/>
      <c r="AA97" s="29"/>
      <c r="AB97" s="29"/>
      <c r="AC97" s="29"/>
      <c r="AD97" s="29"/>
      <c r="AF97" s="36">
        <v>0</v>
      </c>
      <c r="AG97" s="36">
        <v>0</v>
      </c>
      <c r="AH97" s="36">
        <v>0</v>
      </c>
      <c r="AI97" s="36">
        <v>0</v>
      </c>
      <c r="AJ97" s="37">
        <v>1</v>
      </c>
      <c r="AK97" s="38">
        <v>204.19550000000001</v>
      </c>
      <c r="AL97" s="39">
        <v>204</v>
      </c>
      <c r="AM97" s="32">
        <v>408</v>
      </c>
      <c r="AN97" s="39"/>
      <c r="AO97" s="39"/>
      <c r="AP97" s="39"/>
      <c r="AQ97" s="50"/>
      <c r="AS97" s="1"/>
    </row>
    <row r="98" spans="1:45" s="26" customFormat="1" ht="15">
      <c r="A98" s="1">
        <v>36</v>
      </c>
      <c r="B98" s="1">
        <v>34</v>
      </c>
      <c r="C98" s="1"/>
      <c r="D98" s="1"/>
      <c r="E98" s="61" t="s">
        <v>455</v>
      </c>
      <c r="F98" s="29" t="s">
        <v>66</v>
      </c>
      <c r="G98" s="29"/>
      <c r="H98" s="29">
        <v>182</v>
      </c>
      <c r="I98" s="29"/>
      <c r="J98" s="29"/>
      <c r="K98" s="29"/>
      <c r="L98" s="29"/>
      <c r="M98" s="32">
        <f t="shared" si="9"/>
        <v>182</v>
      </c>
      <c r="N98" s="32" t="s">
        <v>1330</v>
      </c>
      <c r="O98" s="32"/>
      <c r="P98" s="32">
        <f t="shared" si="10"/>
        <v>181.99080000000001</v>
      </c>
      <c r="Q98" s="32">
        <f t="shared" si="11"/>
        <v>1</v>
      </c>
      <c r="R98" s="32">
        <f t="shared" ca="1" si="12"/>
        <v>0</v>
      </c>
      <c r="S98" s="33" t="s">
        <v>31</v>
      </c>
      <c r="T98" s="34">
        <f t="shared" si="13"/>
        <v>0</v>
      </c>
      <c r="U98" s="34">
        <f t="shared" ca="1" si="14"/>
        <v>0</v>
      </c>
      <c r="V98" s="34">
        <f>-SUMPRODUCT((S$6:S97=S98)*(X$6:X97=X98))</f>
        <v>0</v>
      </c>
      <c r="W98" s="34">
        <f>-SUMPRODUCT((S$6:S97=S98)*(X$6:X97=X98)*(B$6:B97&lt;&gt;"NS"))</f>
        <v>0</v>
      </c>
      <c r="X98" s="35">
        <f t="shared" si="15"/>
        <v>182.18199999999999</v>
      </c>
      <c r="Y98" s="29">
        <v>182</v>
      </c>
      <c r="Z98" s="29"/>
      <c r="AA98" s="29"/>
      <c r="AB98" s="29"/>
      <c r="AC98" s="29"/>
      <c r="AD98" s="29"/>
      <c r="AF98" s="36">
        <v>0</v>
      </c>
      <c r="AG98" s="36">
        <v>0</v>
      </c>
      <c r="AH98" s="36">
        <v>0</v>
      </c>
      <c r="AI98" s="36">
        <v>0</v>
      </c>
      <c r="AJ98" s="37">
        <v>1</v>
      </c>
      <c r="AK98" s="38">
        <v>182.17339999999999</v>
      </c>
      <c r="AL98" s="39">
        <v>182</v>
      </c>
      <c r="AM98" s="32">
        <v>364</v>
      </c>
      <c r="AN98" s="39"/>
      <c r="AO98" s="39"/>
      <c r="AP98" s="39"/>
      <c r="AQ98" s="50"/>
      <c r="AS98" s="1"/>
    </row>
    <row r="99" spans="1:45" s="26" customFormat="1" ht="15">
      <c r="A99" s="1">
        <v>37</v>
      </c>
      <c r="B99" s="1">
        <v>35</v>
      </c>
      <c r="C99" s="1"/>
      <c r="D99" s="1"/>
      <c r="E99" s="61" t="s">
        <v>468</v>
      </c>
      <c r="F99" s="29" t="s">
        <v>50</v>
      </c>
      <c r="G99" s="29"/>
      <c r="H99" s="29">
        <v>171</v>
      </c>
      <c r="I99" s="29"/>
      <c r="J99" s="29"/>
      <c r="K99" s="29"/>
      <c r="L99" s="29"/>
      <c r="M99" s="32">
        <f t="shared" si="9"/>
        <v>171</v>
      </c>
      <c r="N99" s="32" t="s">
        <v>1330</v>
      </c>
      <c r="O99" s="32"/>
      <c r="P99" s="32">
        <f t="shared" si="10"/>
        <v>170.9907</v>
      </c>
      <c r="Q99" s="32">
        <f t="shared" si="11"/>
        <v>1</v>
      </c>
      <c r="R99" s="32">
        <f t="shared" ca="1" si="12"/>
        <v>0</v>
      </c>
      <c r="S99" s="33" t="s">
        <v>31</v>
      </c>
      <c r="T99" s="34">
        <f t="shared" si="13"/>
        <v>0</v>
      </c>
      <c r="U99" s="34">
        <f t="shared" ca="1" si="14"/>
        <v>0</v>
      </c>
      <c r="V99" s="34">
        <f>-SUMPRODUCT((S$6:S98=S99)*(X$6:X98=X99))</f>
        <v>0</v>
      </c>
      <c r="W99" s="34">
        <f>-SUMPRODUCT((S$6:S98=S99)*(X$6:X98=X99)*(B$6:B98&lt;&gt;"NS"))</f>
        <v>0</v>
      </c>
      <c r="X99" s="35">
        <f t="shared" si="15"/>
        <v>171.17099999999999</v>
      </c>
      <c r="Y99" s="29">
        <v>171</v>
      </c>
      <c r="Z99" s="29"/>
      <c r="AA99" s="29"/>
      <c r="AB99" s="29"/>
      <c r="AC99" s="29"/>
      <c r="AD99" s="29"/>
      <c r="AF99" s="36">
        <v>0</v>
      </c>
      <c r="AG99" s="36">
        <v>0</v>
      </c>
      <c r="AH99" s="36">
        <v>0</v>
      </c>
      <c r="AI99" s="36">
        <v>0</v>
      </c>
      <c r="AJ99" s="37">
        <v>1</v>
      </c>
      <c r="AK99" s="38">
        <v>171.16229999999999</v>
      </c>
      <c r="AL99" s="39">
        <v>171</v>
      </c>
      <c r="AM99" s="32">
        <v>342</v>
      </c>
      <c r="AN99" s="39"/>
      <c r="AO99" s="39"/>
      <c r="AP99" s="39"/>
      <c r="AQ99" s="50"/>
      <c r="AS99" s="1"/>
    </row>
    <row r="100" spans="1:45" s="26" customFormat="1" ht="15">
      <c r="A100" s="1">
        <v>38</v>
      </c>
      <c r="B100" s="1" t="s">
        <v>111</v>
      </c>
      <c r="C100" s="1"/>
      <c r="D100" s="1"/>
      <c r="E100" s="61" t="s">
        <v>469</v>
      </c>
      <c r="F100" s="29" t="s">
        <v>201</v>
      </c>
      <c r="G100" s="29">
        <v>77</v>
      </c>
      <c r="H100" s="29">
        <v>90</v>
      </c>
      <c r="I100" s="29"/>
      <c r="J100" s="29"/>
      <c r="K100" s="29"/>
      <c r="L100" s="29"/>
      <c r="M100" s="32">
        <f t="shared" si="9"/>
        <v>167</v>
      </c>
      <c r="N100" s="32" t="s">
        <v>1331</v>
      </c>
      <c r="O100" s="32"/>
      <c r="P100" s="32">
        <f t="shared" si="10"/>
        <v>166.9906</v>
      </c>
      <c r="Q100" s="32">
        <f t="shared" si="11"/>
        <v>2</v>
      </c>
      <c r="R100" s="32">
        <f t="shared" ca="1" si="12"/>
        <v>0</v>
      </c>
      <c r="S100" s="33" t="s">
        <v>31</v>
      </c>
      <c r="T100" s="34">
        <f t="shared" si="13"/>
        <v>0</v>
      </c>
      <c r="U100" s="34">
        <f t="shared" ca="1" si="14"/>
        <v>0</v>
      </c>
      <c r="V100" s="34">
        <f>-SUMPRODUCT((S$6:S99=S100)*(X$6:X99=X100))</f>
        <v>0</v>
      </c>
      <c r="W100" s="34">
        <f>-SUMPRODUCT((S$6:S99=S100)*(X$6:X99=X100)*(B$6:B99&lt;&gt;"NS"))</f>
        <v>0</v>
      </c>
      <c r="X100" s="35">
        <f t="shared" si="15"/>
        <v>167.0977</v>
      </c>
      <c r="Y100" s="29">
        <v>90</v>
      </c>
      <c r="Z100" s="29">
        <v>77</v>
      </c>
      <c r="AA100" s="29"/>
      <c r="AB100" s="29"/>
      <c r="AC100" s="29"/>
      <c r="AD100" s="29"/>
      <c r="AF100" s="36">
        <v>0</v>
      </c>
      <c r="AG100" s="36">
        <v>0</v>
      </c>
      <c r="AH100" s="36">
        <v>0</v>
      </c>
      <c r="AI100" s="36">
        <v>0</v>
      </c>
      <c r="AJ100" s="37">
        <v>2</v>
      </c>
      <c r="AK100" s="38">
        <v>167.08879999999999</v>
      </c>
      <c r="AL100" s="39">
        <v>90</v>
      </c>
      <c r="AM100" s="32">
        <v>0</v>
      </c>
      <c r="AN100" s="39"/>
      <c r="AO100" s="39"/>
      <c r="AP100" s="39"/>
      <c r="AQ100" s="50"/>
      <c r="AS100" s="1"/>
    </row>
    <row r="101" spans="1:45" s="26" customFormat="1" ht="15">
      <c r="A101" s="1">
        <v>39</v>
      </c>
      <c r="B101" s="1">
        <v>36</v>
      </c>
      <c r="C101" s="1"/>
      <c r="D101" s="1"/>
      <c r="E101" s="61" t="s">
        <v>470</v>
      </c>
      <c r="F101" s="29" t="s">
        <v>118</v>
      </c>
      <c r="G101" s="29"/>
      <c r="H101" s="29">
        <v>150</v>
      </c>
      <c r="I101" s="29"/>
      <c r="J101" s="29"/>
      <c r="K101" s="29"/>
      <c r="L101" s="29"/>
      <c r="M101" s="32">
        <f t="shared" si="9"/>
        <v>150</v>
      </c>
      <c r="N101" s="32" t="s">
        <v>1330</v>
      </c>
      <c r="O101" s="32"/>
      <c r="P101" s="32">
        <f t="shared" si="10"/>
        <v>149.9905</v>
      </c>
      <c r="Q101" s="32">
        <f t="shared" si="11"/>
        <v>1</v>
      </c>
      <c r="R101" s="32">
        <f t="shared" ca="1" si="12"/>
        <v>0</v>
      </c>
      <c r="S101" s="33" t="s">
        <v>31</v>
      </c>
      <c r="T101" s="34">
        <f t="shared" si="13"/>
        <v>0</v>
      </c>
      <c r="U101" s="34">
        <f t="shared" ca="1" si="14"/>
        <v>0</v>
      </c>
      <c r="V101" s="34">
        <f>-SUMPRODUCT((S$6:S100=S101)*(X$6:X100=X101))</f>
        <v>0</v>
      </c>
      <c r="W101" s="34">
        <f>-SUMPRODUCT((S$6:S100=S101)*(X$6:X100=X101)*(B$6:B100&lt;&gt;"NS"))</f>
        <v>0</v>
      </c>
      <c r="X101" s="35">
        <f t="shared" si="15"/>
        <v>150.15</v>
      </c>
      <c r="Y101" s="29">
        <v>150</v>
      </c>
      <c r="Z101" s="29"/>
      <c r="AA101" s="29"/>
      <c r="AB101" s="29"/>
      <c r="AC101" s="29"/>
      <c r="AD101" s="29"/>
      <c r="AF101" s="36">
        <v>0</v>
      </c>
      <c r="AG101" s="36">
        <v>0</v>
      </c>
      <c r="AH101" s="36">
        <v>0</v>
      </c>
      <c r="AI101" s="36">
        <v>0</v>
      </c>
      <c r="AJ101" s="37">
        <v>1</v>
      </c>
      <c r="AK101" s="38">
        <v>150.14100000000002</v>
      </c>
      <c r="AL101" s="39">
        <v>150</v>
      </c>
      <c r="AM101" s="32">
        <v>300</v>
      </c>
      <c r="AN101" s="39"/>
      <c r="AO101" s="39"/>
      <c r="AP101" s="39"/>
      <c r="AQ101" s="50"/>
      <c r="AS101" s="1"/>
    </row>
    <row r="102" spans="1:45" s="26" customFormat="1" ht="15">
      <c r="A102" s="1">
        <v>40</v>
      </c>
      <c r="B102" s="1">
        <v>37</v>
      </c>
      <c r="C102" s="1"/>
      <c r="D102" s="1"/>
      <c r="E102" s="61" t="s">
        <v>471</v>
      </c>
      <c r="F102" s="29" t="s">
        <v>84</v>
      </c>
      <c r="G102" s="29"/>
      <c r="H102" s="29">
        <v>146</v>
      </c>
      <c r="I102" s="29"/>
      <c r="J102" s="29"/>
      <c r="K102" s="29"/>
      <c r="L102" s="29"/>
      <c r="M102" s="32">
        <f t="shared" si="9"/>
        <v>146</v>
      </c>
      <c r="N102" s="32" t="s">
        <v>1330</v>
      </c>
      <c r="O102" s="32"/>
      <c r="P102" s="32">
        <f t="shared" si="10"/>
        <v>145.99039999999999</v>
      </c>
      <c r="Q102" s="32">
        <f t="shared" si="11"/>
        <v>1</v>
      </c>
      <c r="R102" s="32">
        <f t="shared" ca="1" si="12"/>
        <v>0</v>
      </c>
      <c r="S102" s="33" t="s">
        <v>31</v>
      </c>
      <c r="T102" s="34">
        <f t="shared" si="13"/>
        <v>0</v>
      </c>
      <c r="U102" s="34">
        <f t="shared" ca="1" si="14"/>
        <v>0</v>
      </c>
      <c r="V102" s="34">
        <f>-SUMPRODUCT((S$6:S101=S102)*(X$6:X101=X102))</f>
        <v>0</v>
      </c>
      <c r="W102" s="34">
        <f>-SUMPRODUCT((S$6:S101=S102)*(X$6:X101=X102)*(B$6:B101&lt;&gt;"NS"))</f>
        <v>0</v>
      </c>
      <c r="X102" s="35">
        <f t="shared" si="15"/>
        <v>146.14599999999999</v>
      </c>
      <c r="Y102" s="29">
        <v>146</v>
      </c>
      <c r="Z102" s="29"/>
      <c r="AA102" s="29"/>
      <c r="AB102" s="29"/>
      <c r="AC102" s="29"/>
      <c r="AD102" s="29"/>
      <c r="AF102" s="36">
        <v>0</v>
      </c>
      <c r="AG102" s="36">
        <v>0</v>
      </c>
      <c r="AH102" s="36">
        <v>0</v>
      </c>
      <c r="AI102" s="36">
        <v>0</v>
      </c>
      <c r="AJ102" s="37">
        <v>1</v>
      </c>
      <c r="AK102" s="38">
        <v>146.1369</v>
      </c>
      <c r="AL102" s="39">
        <v>146</v>
      </c>
      <c r="AM102" s="32">
        <v>292</v>
      </c>
      <c r="AN102" s="39"/>
      <c r="AO102" s="39"/>
      <c r="AP102" s="39"/>
      <c r="AQ102" s="50"/>
      <c r="AS102" s="1"/>
    </row>
    <row r="103" spans="1:45" s="26" customFormat="1" ht="15">
      <c r="A103" s="1">
        <v>41</v>
      </c>
      <c r="B103" s="1">
        <v>38</v>
      </c>
      <c r="C103" s="1"/>
      <c r="D103" s="1"/>
      <c r="E103" s="61" t="s">
        <v>472</v>
      </c>
      <c r="F103" s="29" t="s">
        <v>93</v>
      </c>
      <c r="G103" s="29"/>
      <c r="H103" s="29"/>
      <c r="I103" s="29">
        <v>107</v>
      </c>
      <c r="J103" s="29"/>
      <c r="K103" s="29"/>
      <c r="L103" s="29"/>
      <c r="M103" s="32">
        <f t="shared" si="9"/>
        <v>107</v>
      </c>
      <c r="N103" s="32" t="s">
        <v>1330</v>
      </c>
      <c r="O103" s="32"/>
      <c r="P103" s="32">
        <f t="shared" si="10"/>
        <v>106.9903</v>
      </c>
      <c r="Q103" s="32">
        <f t="shared" si="11"/>
        <v>1</v>
      </c>
      <c r="R103" s="32">
        <f t="shared" ca="1" si="12"/>
        <v>0</v>
      </c>
      <c r="S103" s="33" t="s">
        <v>31</v>
      </c>
      <c r="T103" s="34">
        <f t="shared" si="13"/>
        <v>0</v>
      </c>
      <c r="U103" s="34">
        <f t="shared" ca="1" si="14"/>
        <v>0</v>
      </c>
      <c r="V103" s="34">
        <f>-SUMPRODUCT((S$6:S102=S103)*(X$6:X102=X103))</f>
        <v>0</v>
      </c>
      <c r="W103" s="34">
        <f>-SUMPRODUCT((S$6:S102=S103)*(X$6:X102=X103)*(B$6:B102&lt;&gt;"NS"))</f>
        <v>0</v>
      </c>
      <c r="X103" s="35">
        <f t="shared" si="15"/>
        <v>107.107</v>
      </c>
      <c r="Y103" s="29">
        <v>107</v>
      </c>
      <c r="Z103" s="29"/>
      <c r="AA103" s="29"/>
      <c r="AB103" s="29"/>
      <c r="AC103" s="29"/>
      <c r="AD103" s="29"/>
      <c r="AF103" s="36">
        <v>0</v>
      </c>
      <c r="AG103" s="36">
        <v>0</v>
      </c>
      <c r="AH103" s="36">
        <v>0</v>
      </c>
      <c r="AI103" s="36">
        <v>0</v>
      </c>
      <c r="AJ103" s="37">
        <v>1</v>
      </c>
      <c r="AK103" s="38">
        <v>107.09779999999999</v>
      </c>
      <c r="AL103" s="39">
        <v>107</v>
      </c>
      <c r="AM103" s="32">
        <v>214</v>
      </c>
      <c r="AN103" s="39"/>
      <c r="AO103" s="39"/>
      <c r="AP103" s="39"/>
      <c r="AQ103" s="50"/>
      <c r="AS103" s="1"/>
    </row>
    <row r="104" spans="1:45" s="26" customFormat="1" ht="15">
      <c r="A104" s="1">
        <v>42</v>
      </c>
      <c r="B104" s="1">
        <v>39</v>
      </c>
      <c r="C104" s="1"/>
      <c r="D104" s="1"/>
      <c r="E104" s="61" t="s">
        <v>473</v>
      </c>
      <c r="F104" s="29" t="s">
        <v>76</v>
      </c>
      <c r="G104" s="29"/>
      <c r="H104" s="29">
        <v>81</v>
      </c>
      <c r="I104" s="29"/>
      <c r="J104" s="29"/>
      <c r="K104" s="29"/>
      <c r="L104" s="29"/>
      <c r="M104" s="32">
        <f t="shared" si="9"/>
        <v>81</v>
      </c>
      <c r="N104" s="32" t="s">
        <v>1330</v>
      </c>
      <c r="O104" s="32"/>
      <c r="P104" s="32">
        <f t="shared" si="10"/>
        <v>80.990200000000002</v>
      </c>
      <c r="Q104" s="32">
        <f t="shared" si="11"/>
        <v>1</v>
      </c>
      <c r="R104" s="32">
        <f t="shared" ca="1" si="12"/>
        <v>0</v>
      </c>
      <c r="S104" s="33" t="s">
        <v>31</v>
      </c>
      <c r="T104" s="34">
        <f t="shared" si="13"/>
        <v>0</v>
      </c>
      <c r="U104" s="34">
        <f t="shared" ca="1" si="14"/>
        <v>0</v>
      </c>
      <c r="V104" s="34">
        <f>-SUMPRODUCT((S$6:S103=S104)*(X$6:X103=X104))</f>
        <v>0</v>
      </c>
      <c r="W104" s="34">
        <f>-SUMPRODUCT((S$6:S103=S104)*(X$6:X103=X104)*(B$6:B103&lt;&gt;"NS"))</f>
        <v>0</v>
      </c>
      <c r="X104" s="35">
        <f t="shared" si="15"/>
        <v>81.081000000000003</v>
      </c>
      <c r="Y104" s="29">
        <v>81</v>
      </c>
      <c r="Z104" s="29"/>
      <c r="AA104" s="29"/>
      <c r="AB104" s="29"/>
      <c r="AC104" s="29"/>
      <c r="AD104" s="29"/>
      <c r="AF104" s="36">
        <v>0</v>
      </c>
      <c r="AG104" s="36">
        <v>0</v>
      </c>
      <c r="AH104" s="36">
        <v>0</v>
      </c>
      <c r="AI104" s="36">
        <v>0</v>
      </c>
      <c r="AJ104" s="37">
        <v>1</v>
      </c>
      <c r="AK104" s="38">
        <v>81.071700000000007</v>
      </c>
      <c r="AL104" s="39">
        <v>81</v>
      </c>
      <c r="AM104" s="32">
        <v>162</v>
      </c>
      <c r="AN104" s="39"/>
      <c r="AO104" s="39"/>
      <c r="AP104" s="39"/>
      <c r="AQ104" s="50"/>
      <c r="AS104" s="1"/>
    </row>
    <row r="105" spans="1:45" s="26" customFormat="1" ht="3" customHeight="1">
      <c r="A105" s="1"/>
      <c r="B105" s="1"/>
      <c r="C105" s="1"/>
      <c r="D105" s="1"/>
      <c r="E105" s="1"/>
      <c r="F105" s="29"/>
      <c r="G105" s="29"/>
      <c r="H105" s="29"/>
      <c r="I105" s="29"/>
      <c r="J105" s="29"/>
      <c r="K105" s="29"/>
      <c r="L105" s="29"/>
      <c r="M105" s="32"/>
      <c r="N105" s="27"/>
      <c r="O105" s="27"/>
      <c r="P105" s="32"/>
      <c r="Q105" s="27"/>
      <c r="R105" s="27"/>
      <c r="T105" s="59"/>
      <c r="U105" s="59"/>
      <c r="V105" s="59"/>
      <c r="W105" s="59"/>
      <c r="X105" s="34"/>
      <c r="Y105" s="29"/>
      <c r="Z105" s="29"/>
      <c r="AA105" s="29"/>
      <c r="AB105" s="29"/>
      <c r="AC105" s="52"/>
      <c r="AD105" s="52"/>
      <c r="AJ105" s="58"/>
      <c r="AK105" s="58"/>
      <c r="AN105" s="39"/>
      <c r="AO105" s="39"/>
      <c r="AP105" s="39"/>
      <c r="AQ105" s="50"/>
      <c r="AS105" s="1"/>
    </row>
    <row r="106" spans="1:45" s="26" customFormat="1">
      <c r="A106" s="1"/>
      <c r="B106" s="1"/>
      <c r="C106" s="1"/>
      <c r="D106" s="1"/>
      <c r="E106" s="1"/>
      <c r="F106" s="29"/>
      <c r="G106" s="29"/>
      <c r="H106" s="29"/>
      <c r="I106" s="29"/>
      <c r="J106" s="29"/>
      <c r="K106" s="29"/>
      <c r="L106" s="29"/>
      <c r="M106" s="32"/>
      <c r="N106" s="27"/>
      <c r="O106" s="27"/>
      <c r="P106" s="32"/>
      <c r="Q106" s="27"/>
      <c r="R106" s="27"/>
      <c r="T106" s="59"/>
      <c r="U106" s="59"/>
      <c r="V106" s="59"/>
      <c r="W106" s="59"/>
      <c r="X106" s="34"/>
      <c r="Y106" s="29"/>
      <c r="Z106" s="29"/>
      <c r="AA106" s="29"/>
      <c r="AB106" s="29"/>
      <c r="AC106" s="52"/>
      <c r="AD106" s="52"/>
      <c r="AJ106" s="58"/>
      <c r="AK106" s="58"/>
      <c r="AN106" s="39"/>
      <c r="AO106" s="39"/>
      <c r="AP106" s="39"/>
      <c r="AQ106" s="50"/>
      <c r="AS106" s="1"/>
    </row>
    <row r="107" spans="1:45" s="26" customFormat="1" ht="15">
      <c r="A107" s="1"/>
      <c r="B107" s="1"/>
      <c r="C107" s="1"/>
      <c r="D107" s="1"/>
      <c r="E107" s="60" t="s">
        <v>39</v>
      </c>
      <c r="F107" s="29"/>
      <c r="G107" s="29"/>
      <c r="H107" s="29"/>
      <c r="I107" s="29"/>
      <c r="J107" s="29"/>
      <c r="K107" s="29"/>
      <c r="L107" s="29"/>
      <c r="M107" s="32"/>
      <c r="N107" s="27"/>
      <c r="O107" s="27"/>
      <c r="P107" s="32"/>
      <c r="Q107" s="27"/>
      <c r="R107" s="27"/>
      <c r="S107" s="52" t="str">
        <f>E107</f>
        <v>M40</v>
      </c>
      <c r="T107" s="59"/>
      <c r="U107" s="59"/>
      <c r="V107" s="59"/>
      <c r="W107" s="59"/>
      <c r="X107" s="34"/>
      <c r="Y107" s="29"/>
      <c r="Z107" s="29"/>
      <c r="AA107" s="29"/>
      <c r="AB107" s="29"/>
      <c r="AC107" s="52"/>
      <c r="AD107" s="52"/>
      <c r="AJ107" s="58"/>
      <c r="AK107" s="58"/>
      <c r="AN107" s="39">
        <v>890</v>
      </c>
      <c r="AO107" s="39">
        <v>865</v>
      </c>
      <c r="AP107" s="39">
        <v>865</v>
      </c>
      <c r="AQ107" s="50"/>
      <c r="AS107" s="1"/>
    </row>
    <row r="108" spans="1:45" s="26" customFormat="1" ht="15">
      <c r="A108" s="1">
        <v>1</v>
      </c>
      <c r="B108" s="1">
        <v>1</v>
      </c>
      <c r="C108" s="1"/>
      <c r="D108" s="1"/>
      <c r="E108" s="61" t="s">
        <v>36</v>
      </c>
      <c r="F108" s="29" t="s">
        <v>38</v>
      </c>
      <c r="G108" s="29">
        <v>298</v>
      </c>
      <c r="H108" s="29">
        <v>296</v>
      </c>
      <c r="I108" s="29"/>
      <c r="J108" s="29">
        <v>296</v>
      </c>
      <c r="K108" s="29">
        <v>294</v>
      </c>
      <c r="L108" s="29"/>
      <c r="M108" s="32">
        <f t="shared" ref="M108:M165" si="16">IFERROR(LARGE(G108:L108,1),0)+IF($F$5&gt;=2,IFERROR(LARGE(G108:L108,2),0),0)+IF($F$5&gt;=3,IFERROR(LARGE(G108:L108,3),0),0)+IF($F$5&gt;=4,IFERROR(LARGE(G108:L108,4),0),0)+IF($F$5&gt;=5,IFERROR(LARGE(G108:L108,5),0),0)+IF($F$5&gt;=6,IFERROR(LARGE(G108:L108,6),0),0)</f>
        <v>890</v>
      </c>
      <c r="N108" s="32" t="s">
        <v>1330</v>
      </c>
      <c r="O108" s="32" t="s">
        <v>40</v>
      </c>
      <c r="P108" s="32">
        <f t="shared" ref="P108:P165" si="17">M108-(ROW(M108)-ROW(M$6))/10000</f>
        <v>889.98979999999995</v>
      </c>
      <c r="Q108" s="32">
        <f t="shared" ref="Q108:Q165" si="18">COUNT(G108:L108)</f>
        <v>4</v>
      </c>
      <c r="R108" s="32">
        <f t="shared" ref="R108:R165" ca="1" si="19">IF(AND(Q108=1,OFFSET(F108,0,R$3)&gt;0),"Y",0)</f>
        <v>0</v>
      </c>
      <c r="S108" s="33" t="s">
        <v>39</v>
      </c>
      <c r="T108" s="34">
        <f t="shared" ref="T108:T163" si="20">1-(S108=S107)</f>
        <v>0</v>
      </c>
      <c r="U108" s="34">
        <f t="shared" ref="U108:U165" ca="1" si="21">OFFSET(F108,0,$R$3)</f>
        <v>294</v>
      </c>
      <c r="V108" s="34">
        <f>-SUMPRODUCT((S$6:S107=S108)*(X$6:X107=X108))</f>
        <v>0</v>
      </c>
      <c r="W108" s="34">
        <f>-SUMPRODUCT((S$6:S107=S108)*(X$6:X107=X108)*(B$6:B107&lt;&gt;"NS"))</f>
        <v>0</v>
      </c>
      <c r="X108" s="35">
        <f t="shared" ref="X108:X165" si="22">M108+SUMPRODUCT(Y$4:AD$4,Y108:AD108)</f>
        <v>890.33055999999999</v>
      </c>
      <c r="Y108" s="29">
        <v>298</v>
      </c>
      <c r="Z108" s="29">
        <v>296</v>
      </c>
      <c r="AA108" s="29">
        <v>296</v>
      </c>
      <c r="AB108" s="29">
        <v>294</v>
      </c>
      <c r="AC108" s="29"/>
      <c r="AD108" s="29"/>
      <c r="AF108" s="36">
        <v>0</v>
      </c>
      <c r="AG108" s="36">
        <v>0</v>
      </c>
      <c r="AH108" s="36">
        <v>0</v>
      </c>
      <c r="AI108" s="36">
        <v>0</v>
      </c>
      <c r="AJ108" s="37">
        <v>3</v>
      </c>
      <c r="AK108" s="38">
        <v>890.32086000000004</v>
      </c>
      <c r="AL108" s="39">
        <v>298</v>
      </c>
      <c r="AM108" s="32">
        <v>892</v>
      </c>
      <c r="AN108" s="39" t="s">
        <v>40</v>
      </c>
      <c r="AO108" s="39"/>
      <c r="AP108" s="39"/>
      <c r="AQ108" s="50"/>
      <c r="AS108" s="1"/>
    </row>
    <row r="109" spans="1:45" s="26" customFormat="1" ht="15">
      <c r="A109" s="1">
        <v>2</v>
      </c>
      <c r="B109" s="1">
        <v>2</v>
      </c>
      <c r="C109" s="1"/>
      <c r="D109" s="1"/>
      <c r="E109" s="61" t="s">
        <v>45</v>
      </c>
      <c r="F109" s="29" t="s">
        <v>47</v>
      </c>
      <c r="G109" s="29">
        <v>291</v>
      </c>
      <c r="H109" s="29">
        <v>284</v>
      </c>
      <c r="I109" s="29">
        <v>286</v>
      </c>
      <c r="J109" s="29">
        <v>288</v>
      </c>
      <c r="K109" s="29">
        <v>291</v>
      </c>
      <c r="L109" s="29"/>
      <c r="M109" s="32">
        <f t="shared" si="16"/>
        <v>870</v>
      </c>
      <c r="N109" s="32" t="s">
        <v>1330</v>
      </c>
      <c r="O109" s="32" t="s">
        <v>71</v>
      </c>
      <c r="P109" s="32">
        <f t="shared" si="17"/>
        <v>869.98969999999997</v>
      </c>
      <c r="Q109" s="32">
        <f t="shared" si="18"/>
        <v>5</v>
      </c>
      <c r="R109" s="32">
        <f t="shared" ca="1" si="19"/>
        <v>0</v>
      </c>
      <c r="S109" s="33" t="s">
        <v>39</v>
      </c>
      <c r="T109" s="34">
        <f t="shared" si="20"/>
        <v>0</v>
      </c>
      <c r="U109" s="34">
        <f t="shared" ca="1" si="21"/>
        <v>291</v>
      </c>
      <c r="V109" s="34">
        <f>-SUMPRODUCT((S$6:S108=S109)*(X$6:X108=X109))</f>
        <v>0</v>
      </c>
      <c r="W109" s="34">
        <f>-SUMPRODUCT((S$6:S108=S109)*(X$6:X108=X109)*(B$6:B108&lt;&gt;"NS"))</f>
        <v>0</v>
      </c>
      <c r="X109" s="35">
        <f t="shared" si="22"/>
        <v>870.32298000000003</v>
      </c>
      <c r="Y109" s="29">
        <v>291</v>
      </c>
      <c r="Z109" s="29">
        <v>291</v>
      </c>
      <c r="AA109" s="29">
        <v>288</v>
      </c>
      <c r="AB109" s="29">
        <v>286</v>
      </c>
      <c r="AC109" s="29">
        <v>284</v>
      </c>
      <c r="AD109" s="29"/>
      <c r="AF109" s="36">
        <v>0</v>
      </c>
      <c r="AG109" s="36">
        <v>0</v>
      </c>
      <c r="AH109" s="36">
        <v>0</v>
      </c>
      <c r="AI109" s="36">
        <v>0</v>
      </c>
      <c r="AJ109" s="37">
        <v>4</v>
      </c>
      <c r="AK109" s="38">
        <v>865.3130440000001</v>
      </c>
      <c r="AL109" s="39">
        <v>291</v>
      </c>
      <c r="AM109" s="32">
        <v>870</v>
      </c>
      <c r="AN109" s="39"/>
      <c r="AO109" s="39" t="s">
        <v>71</v>
      </c>
      <c r="AP109" s="39" t="s">
        <v>120</v>
      </c>
      <c r="AQ109" s="50"/>
      <c r="AS109" s="1"/>
    </row>
    <row r="110" spans="1:45" s="26" customFormat="1" ht="15">
      <c r="A110" s="1">
        <v>3</v>
      </c>
      <c r="B110" s="1">
        <v>3</v>
      </c>
      <c r="C110" s="1"/>
      <c r="D110" s="1"/>
      <c r="E110" s="61" t="s">
        <v>474</v>
      </c>
      <c r="F110" s="29" t="s">
        <v>76</v>
      </c>
      <c r="G110" s="29">
        <v>292</v>
      </c>
      <c r="H110" s="29">
        <v>287</v>
      </c>
      <c r="I110" s="29"/>
      <c r="J110" s="29">
        <v>286</v>
      </c>
      <c r="K110" s="29"/>
      <c r="L110" s="29"/>
      <c r="M110" s="32">
        <f t="shared" si="16"/>
        <v>865</v>
      </c>
      <c r="N110" s="32" t="s">
        <v>1330</v>
      </c>
      <c r="O110" s="32" t="s">
        <v>120</v>
      </c>
      <c r="P110" s="32">
        <f t="shared" si="17"/>
        <v>864.9896</v>
      </c>
      <c r="Q110" s="32">
        <f t="shared" si="18"/>
        <v>3</v>
      </c>
      <c r="R110" s="32">
        <f t="shared" ca="1" si="19"/>
        <v>0</v>
      </c>
      <c r="S110" s="33" t="s">
        <v>39</v>
      </c>
      <c r="T110" s="34">
        <f t="shared" si="20"/>
        <v>0</v>
      </c>
      <c r="U110" s="34">
        <f t="shared" ca="1" si="21"/>
        <v>0</v>
      </c>
      <c r="V110" s="34">
        <f>-SUMPRODUCT((S$6:S109=S110)*(X$6:X109=X110))</f>
        <v>0</v>
      </c>
      <c r="W110" s="34">
        <f>-SUMPRODUCT((S$6:S109=S110)*(X$6:X109=X110)*(B$6:B109&lt;&gt;"NS"))</f>
        <v>0</v>
      </c>
      <c r="X110" s="35">
        <f t="shared" si="22"/>
        <v>865.32356000000004</v>
      </c>
      <c r="Y110" s="29">
        <v>292</v>
      </c>
      <c r="Z110" s="29">
        <v>287</v>
      </c>
      <c r="AA110" s="29">
        <v>286</v>
      </c>
      <c r="AB110" s="29"/>
      <c r="AC110" s="29"/>
      <c r="AD110" s="29"/>
      <c r="AF110" s="36">
        <v>0</v>
      </c>
      <c r="AG110" s="36">
        <v>0</v>
      </c>
      <c r="AH110" s="36">
        <v>0</v>
      </c>
      <c r="AI110" s="36">
        <v>0</v>
      </c>
      <c r="AJ110" s="37">
        <v>3</v>
      </c>
      <c r="AK110" s="38">
        <v>865.31376</v>
      </c>
      <c r="AL110" s="39">
        <v>292</v>
      </c>
      <c r="AM110" s="32">
        <v>871</v>
      </c>
      <c r="AN110" s="39"/>
      <c r="AO110" s="39" t="s">
        <v>71</v>
      </c>
      <c r="AP110" s="39" t="s">
        <v>120</v>
      </c>
      <c r="AQ110" s="50"/>
      <c r="AS110" s="1"/>
    </row>
    <row r="111" spans="1:45" s="26" customFormat="1" ht="15">
      <c r="A111" s="1">
        <v>4</v>
      </c>
      <c r="B111" s="1">
        <v>4</v>
      </c>
      <c r="C111" s="1"/>
      <c r="D111" s="1"/>
      <c r="E111" s="61" t="s">
        <v>475</v>
      </c>
      <c r="F111" s="29" t="s">
        <v>50</v>
      </c>
      <c r="G111" s="29">
        <v>284</v>
      </c>
      <c r="H111" s="29"/>
      <c r="I111" s="29">
        <v>289</v>
      </c>
      <c r="J111" s="29">
        <v>274</v>
      </c>
      <c r="K111" s="29"/>
      <c r="L111" s="29"/>
      <c r="M111" s="32">
        <f t="shared" si="16"/>
        <v>847</v>
      </c>
      <c r="N111" s="32" t="s">
        <v>1330</v>
      </c>
      <c r="O111" s="32"/>
      <c r="P111" s="32">
        <f t="shared" si="17"/>
        <v>846.98950000000002</v>
      </c>
      <c r="Q111" s="32">
        <f t="shared" si="18"/>
        <v>3</v>
      </c>
      <c r="R111" s="32">
        <f t="shared" ca="1" si="19"/>
        <v>0</v>
      </c>
      <c r="S111" s="33" t="s">
        <v>39</v>
      </c>
      <c r="T111" s="34">
        <f t="shared" si="20"/>
        <v>0</v>
      </c>
      <c r="U111" s="34">
        <f t="shared" ca="1" si="21"/>
        <v>0</v>
      </c>
      <c r="V111" s="34">
        <f>-SUMPRODUCT((S$6:S110=S111)*(X$6:X110=X111))</f>
        <v>0</v>
      </c>
      <c r="W111" s="34">
        <f>-SUMPRODUCT((S$6:S110=S111)*(X$6:X110=X111)*(B$6:B110&lt;&gt;"NS"))</f>
        <v>0</v>
      </c>
      <c r="X111" s="35">
        <f t="shared" si="22"/>
        <v>847.32014000000004</v>
      </c>
      <c r="Y111" s="29">
        <v>289</v>
      </c>
      <c r="Z111" s="29">
        <v>284</v>
      </c>
      <c r="AA111" s="29">
        <v>274</v>
      </c>
      <c r="AB111" s="29"/>
      <c r="AC111" s="29"/>
      <c r="AD111" s="29"/>
      <c r="AF111" s="36">
        <v>0</v>
      </c>
      <c r="AG111" s="36">
        <v>0</v>
      </c>
      <c r="AH111" s="36">
        <v>0</v>
      </c>
      <c r="AI111" s="36">
        <v>0</v>
      </c>
      <c r="AJ111" s="37">
        <v>3</v>
      </c>
      <c r="AK111" s="38">
        <v>847.31014000000005</v>
      </c>
      <c r="AL111" s="39">
        <v>289</v>
      </c>
      <c r="AM111" s="32">
        <v>862</v>
      </c>
      <c r="AN111" s="39"/>
      <c r="AO111" s="39"/>
      <c r="AP111" s="39"/>
      <c r="AQ111" s="50"/>
      <c r="AS111" s="1"/>
    </row>
    <row r="112" spans="1:45" s="26" customFormat="1" ht="15">
      <c r="A112" s="1">
        <v>5</v>
      </c>
      <c r="B112" s="1">
        <v>5</v>
      </c>
      <c r="C112" s="1"/>
      <c r="D112" s="1"/>
      <c r="E112" s="61" t="s">
        <v>476</v>
      </c>
      <c r="F112" s="29" t="s">
        <v>25</v>
      </c>
      <c r="G112" s="29">
        <v>282</v>
      </c>
      <c r="H112" s="29">
        <v>280</v>
      </c>
      <c r="I112" s="29">
        <v>280</v>
      </c>
      <c r="J112" s="29"/>
      <c r="K112" s="29"/>
      <c r="L112" s="29"/>
      <c r="M112" s="32">
        <f t="shared" si="16"/>
        <v>842</v>
      </c>
      <c r="N112" s="32" t="s">
        <v>1330</v>
      </c>
      <c r="O112" s="32"/>
      <c r="P112" s="32">
        <f t="shared" si="17"/>
        <v>841.98940000000005</v>
      </c>
      <c r="Q112" s="32">
        <f t="shared" si="18"/>
        <v>3</v>
      </c>
      <c r="R112" s="32">
        <f t="shared" ca="1" si="19"/>
        <v>0</v>
      </c>
      <c r="S112" s="33" t="s">
        <v>39</v>
      </c>
      <c r="T112" s="34">
        <f t="shared" si="20"/>
        <v>0</v>
      </c>
      <c r="U112" s="34">
        <f t="shared" ca="1" si="21"/>
        <v>0</v>
      </c>
      <c r="V112" s="34">
        <f>-SUMPRODUCT((S$6:S111=S112)*(X$6:X111=X112))</f>
        <v>0</v>
      </c>
      <c r="W112" s="34">
        <f>-SUMPRODUCT((S$6:S111=S112)*(X$6:X111=X112)*(B$6:B111&lt;&gt;"NS"))</f>
        <v>0</v>
      </c>
      <c r="X112" s="35">
        <f t="shared" si="22"/>
        <v>842.31280000000004</v>
      </c>
      <c r="Y112" s="29">
        <v>282</v>
      </c>
      <c r="Z112" s="29">
        <v>280</v>
      </c>
      <c r="AA112" s="29">
        <v>280</v>
      </c>
      <c r="AB112" s="29"/>
      <c r="AC112" s="29"/>
      <c r="AD112" s="29"/>
      <c r="AF112" s="36">
        <v>0</v>
      </c>
      <c r="AG112" s="36">
        <v>0</v>
      </c>
      <c r="AH112" s="36">
        <v>0</v>
      </c>
      <c r="AI112" s="36">
        <v>0</v>
      </c>
      <c r="AJ112" s="37">
        <v>3</v>
      </c>
      <c r="AK112" s="38">
        <v>842.30270000000007</v>
      </c>
      <c r="AL112" s="39">
        <v>282</v>
      </c>
      <c r="AM112" s="32">
        <v>844</v>
      </c>
      <c r="AN112" s="39"/>
      <c r="AO112" s="39"/>
      <c r="AP112" s="39"/>
      <c r="AQ112" s="50"/>
      <c r="AS112" s="1"/>
    </row>
    <row r="113" spans="1:45" s="26" customFormat="1" ht="15">
      <c r="A113" s="1">
        <v>6</v>
      </c>
      <c r="B113" s="1">
        <v>6</v>
      </c>
      <c r="C113" s="1"/>
      <c r="D113" s="1"/>
      <c r="E113" s="61" t="s">
        <v>70</v>
      </c>
      <c r="F113" s="29" t="s">
        <v>53</v>
      </c>
      <c r="G113" s="29"/>
      <c r="H113" s="29">
        <v>273</v>
      </c>
      <c r="I113" s="29">
        <v>277</v>
      </c>
      <c r="J113" s="29">
        <v>280</v>
      </c>
      <c r="K113" s="29">
        <v>283</v>
      </c>
      <c r="L113" s="29"/>
      <c r="M113" s="32">
        <f t="shared" si="16"/>
        <v>840</v>
      </c>
      <c r="N113" s="32" t="s">
        <v>1330</v>
      </c>
      <c r="O113" s="32"/>
      <c r="P113" s="32">
        <f t="shared" si="17"/>
        <v>839.98929999999996</v>
      </c>
      <c r="Q113" s="32">
        <f t="shared" si="18"/>
        <v>4</v>
      </c>
      <c r="R113" s="32">
        <f t="shared" ca="1" si="19"/>
        <v>0</v>
      </c>
      <c r="S113" s="33" t="s">
        <v>39</v>
      </c>
      <c r="T113" s="34">
        <f t="shared" si="20"/>
        <v>0</v>
      </c>
      <c r="U113" s="34">
        <f t="shared" ca="1" si="21"/>
        <v>283</v>
      </c>
      <c r="V113" s="34">
        <f>-SUMPRODUCT((S$6:S112=S113)*(X$6:X112=X113))</f>
        <v>0</v>
      </c>
      <c r="W113" s="34">
        <f>-SUMPRODUCT((S$6:S112=S113)*(X$6:X112=X113)*(B$6:B112&lt;&gt;"NS"))</f>
        <v>0</v>
      </c>
      <c r="X113" s="35">
        <f t="shared" si="22"/>
        <v>840.31376999999998</v>
      </c>
      <c r="Y113" s="29">
        <v>283</v>
      </c>
      <c r="Z113" s="29">
        <v>280</v>
      </c>
      <c r="AA113" s="29">
        <v>277</v>
      </c>
      <c r="AB113" s="29">
        <v>273</v>
      </c>
      <c r="AC113" s="29"/>
      <c r="AD113" s="29"/>
      <c r="AF113" s="36">
        <v>0</v>
      </c>
      <c r="AG113" s="36">
        <v>0</v>
      </c>
      <c r="AH113" s="36">
        <v>0</v>
      </c>
      <c r="AI113" s="36">
        <v>0</v>
      </c>
      <c r="AJ113" s="37">
        <v>3</v>
      </c>
      <c r="AK113" s="38">
        <v>830.30012999999997</v>
      </c>
      <c r="AL113" s="39">
        <v>280</v>
      </c>
      <c r="AM113" s="32">
        <v>837</v>
      </c>
      <c r="AN113" s="39"/>
      <c r="AO113" s="39"/>
      <c r="AP113" s="39"/>
      <c r="AQ113" s="50"/>
      <c r="AS113" s="1"/>
    </row>
    <row r="114" spans="1:45" s="26" customFormat="1" ht="15">
      <c r="A114" s="1">
        <v>7</v>
      </c>
      <c r="B114" s="1">
        <v>7</v>
      </c>
      <c r="C114" s="1"/>
      <c r="D114" s="1"/>
      <c r="E114" s="61" t="s">
        <v>63</v>
      </c>
      <c r="F114" s="29" t="s">
        <v>29</v>
      </c>
      <c r="G114" s="29">
        <v>252</v>
      </c>
      <c r="H114" s="29">
        <v>257</v>
      </c>
      <c r="I114" s="29">
        <v>275</v>
      </c>
      <c r="J114" s="29">
        <v>275</v>
      </c>
      <c r="K114" s="29">
        <v>286</v>
      </c>
      <c r="L114" s="29"/>
      <c r="M114" s="32">
        <f t="shared" si="16"/>
        <v>836</v>
      </c>
      <c r="N114" s="32" t="s">
        <v>1330</v>
      </c>
      <c r="O114" s="32"/>
      <c r="P114" s="32">
        <f t="shared" si="17"/>
        <v>835.98919999999998</v>
      </c>
      <c r="Q114" s="32">
        <f t="shared" si="18"/>
        <v>5</v>
      </c>
      <c r="R114" s="32">
        <f t="shared" ca="1" si="19"/>
        <v>0</v>
      </c>
      <c r="S114" s="33" t="s">
        <v>39</v>
      </c>
      <c r="T114" s="34">
        <f t="shared" si="20"/>
        <v>0</v>
      </c>
      <c r="U114" s="34">
        <f t="shared" ca="1" si="21"/>
        <v>286</v>
      </c>
      <c r="V114" s="34">
        <f>-SUMPRODUCT((S$6:S113=S114)*(X$6:X113=X114))</f>
        <v>0</v>
      </c>
      <c r="W114" s="34">
        <f>-SUMPRODUCT((S$6:S113=S114)*(X$6:X113=X114)*(B$6:B113&lt;&gt;"NS"))</f>
        <v>0</v>
      </c>
      <c r="X114" s="35">
        <f t="shared" si="22"/>
        <v>836.31624999999997</v>
      </c>
      <c r="Y114" s="29">
        <v>286</v>
      </c>
      <c r="Z114" s="29">
        <v>275</v>
      </c>
      <c r="AA114" s="29">
        <v>275</v>
      </c>
      <c r="AB114" s="29">
        <v>257</v>
      </c>
      <c r="AC114" s="29">
        <v>252</v>
      </c>
      <c r="AD114" s="29"/>
      <c r="AF114" s="36">
        <v>0</v>
      </c>
      <c r="AG114" s="36">
        <v>0</v>
      </c>
      <c r="AH114" s="36">
        <v>0</v>
      </c>
      <c r="AI114" s="36">
        <v>0</v>
      </c>
      <c r="AJ114" s="37">
        <v>4</v>
      </c>
      <c r="AK114" s="38">
        <v>807.29482200000007</v>
      </c>
      <c r="AL114" s="39">
        <v>275</v>
      </c>
      <c r="AM114" s="32">
        <v>825</v>
      </c>
      <c r="AN114" s="39"/>
      <c r="AO114" s="39"/>
      <c r="AP114" s="39"/>
      <c r="AQ114" s="50"/>
      <c r="AS114" s="1"/>
    </row>
    <row r="115" spans="1:45" s="26" customFormat="1" ht="15">
      <c r="A115" s="1">
        <v>8</v>
      </c>
      <c r="B115" s="1">
        <v>8</v>
      </c>
      <c r="C115" s="1"/>
      <c r="D115" s="1"/>
      <c r="E115" s="61" t="s">
        <v>477</v>
      </c>
      <c r="F115" s="29" t="s">
        <v>38</v>
      </c>
      <c r="G115" s="29">
        <v>278</v>
      </c>
      <c r="H115" s="29"/>
      <c r="I115" s="29">
        <v>272</v>
      </c>
      <c r="J115" s="29">
        <v>284</v>
      </c>
      <c r="K115" s="29"/>
      <c r="L115" s="29"/>
      <c r="M115" s="32">
        <f t="shared" si="16"/>
        <v>834</v>
      </c>
      <c r="N115" s="32" t="s">
        <v>1330</v>
      </c>
      <c r="O115" s="32"/>
      <c r="P115" s="32">
        <f t="shared" si="17"/>
        <v>833.98910000000001</v>
      </c>
      <c r="Q115" s="32">
        <f t="shared" si="18"/>
        <v>3</v>
      </c>
      <c r="R115" s="32">
        <f t="shared" ca="1" si="19"/>
        <v>0</v>
      </c>
      <c r="S115" s="33" t="s">
        <v>39</v>
      </c>
      <c r="T115" s="34">
        <f t="shared" si="20"/>
        <v>0</v>
      </c>
      <c r="U115" s="34">
        <f t="shared" ca="1" si="21"/>
        <v>0</v>
      </c>
      <c r="V115" s="34">
        <f>-SUMPRODUCT((S$6:S114=S115)*(X$6:X114=X115))</f>
        <v>0</v>
      </c>
      <c r="W115" s="34">
        <f>-SUMPRODUCT((S$6:S114=S115)*(X$6:X114=X115)*(B$6:B114&lt;&gt;"NS"))</f>
        <v>0</v>
      </c>
      <c r="X115" s="35">
        <f t="shared" si="22"/>
        <v>834.31452000000002</v>
      </c>
      <c r="Y115" s="29">
        <v>284</v>
      </c>
      <c r="Z115" s="29">
        <v>278</v>
      </c>
      <c r="AA115" s="29">
        <v>272</v>
      </c>
      <c r="AB115" s="29"/>
      <c r="AC115" s="29"/>
      <c r="AD115" s="29"/>
      <c r="AF115" s="36">
        <v>0</v>
      </c>
      <c r="AG115" s="36">
        <v>0</v>
      </c>
      <c r="AH115" s="36">
        <v>0</v>
      </c>
      <c r="AI115" s="36">
        <v>0</v>
      </c>
      <c r="AJ115" s="37">
        <v>3</v>
      </c>
      <c r="AK115" s="38">
        <v>834.30431999999985</v>
      </c>
      <c r="AL115" s="39">
        <v>284</v>
      </c>
      <c r="AM115" s="32">
        <v>846</v>
      </c>
      <c r="AN115" s="39"/>
      <c r="AO115" s="39"/>
      <c r="AP115" s="39"/>
      <c r="AQ115" s="50"/>
      <c r="AS115" s="1"/>
    </row>
    <row r="116" spans="1:45" s="26" customFormat="1" ht="15">
      <c r="A116" s="1">
        <v>9</v>
      </c>
      <c r="B116" s="1">
        <v>9</v>
      </c>
      <c r="C116" s="1"/>
      <c r="D116" s="1"/>
      <c r="E116" s="61" t="s">
        <v>77</v>
      </c>
      <c r="F116" s="29" t="s">
        <v>76</v>
      </c>
      <c r="G116" s="29">
        <v>277</v>
      </c>
      <c r="H116" s="29">
        <v>274</v>
      </c>
      <c r="I116" s="29"/>
      <c r="J116" s="29">
        <v>277</v>
      </c>
      <c r="K116" s="29">
        <v>279</v>
      </c>
      <c r="L116" s="29"/>
      <c r="M116" s="32">
        <f t="shared" si="16"/>
        <v>833</v>
      </c>
      <c r="N116" s="32" t="s">
        <v>1330</v>
      </c>
      <c r="O116" s="32"/>
      <c r="P116" s="32">
        <f t="shared" si="17"/>
        <v>832.98900000000003</v>
      </c>
      <c r="Q116" s="32">
        <f t="shared" si="18"/>
        <v>4</v>
      </c>
      <c r="R116" s="32">
        <f t="shared" ca="1" si="19"/>
        <v>0</v>
      </c>
      <c r="S116" s="33" t="s">
        <v>39</v>
      </c>
      <c r="T116" s="34">
        <f t="shared" si="20"/>
        <v>0</v>
      </c>
      <c r="U116" s="34">
        <f t="shared" ca="1" si="21"/>
        <v>279</v>
      </c>
      <c r="V116" s="34">
        <f>-SUMPRODUCT((S$6:S115=S116)*(X$6:X115=X116))</f>
        <v>0</v>
      </c>
      <c r="W116" s="34">
        <f>-SUMPRODUCT((S$6:S115=S116)*(X$6:X115=X116)*(B$6:B115&lt;&gt;"NS"))</f>
        <v>0</v>
      </c>
      <c r="X116" s="35">
        <f t="shared" si="22"/>
        <v>833.30947000000003</v>
      </c>
      <c r="Y116" s="29">
        <v>279</v>
      </c>
      <c r="Z116" s="29">
        <v>277</v>
      </c>
      <c r="AA116" s="29">
        <v>277</v>
      </c>
      <c r="AB116" s="29">
        <v>274</v>
      </c>
      <c r="AC116" s="29"/>
      <c r="AD116" s="29"/>
      <c r="AF116" s="36">
        <v>0</v>
      </c>
      <c r="AG116" s="36">
        <v>0</v>
      </c>
      <c r="AH116" s="36">
        <v>0</v>
      </c>
      <c r="AI116" s="36">
        <v>0</v>
      </c>
      <c r="AJ116" s="37">
        <v>3</v>
      </c>
      <c r="AK116" s="38">
        <v>828.29704000000004</v>
      </c>
      <c r="AL116" s="39">
        <v>277</v>
      </c>
      <c r="AM116" s="32">
        <v>831</v>
      </c>
      <c r="AN116" s="39"/>
      <c r="AO116" s="39"/>
      <c r="AP116" s="39"/>
      <c r="AQ116" s="50"/>
      <c r="AS116" s="1"/>
    </row>
    <row r="117" spans="1:45" s="26" customFormat="1" ht="15">
      <c r="A117" s="1">
        <v>10</v>
      </c>
      <c r="B117" s="1">
        <v>10</v>
      </c>
      <c r="C117" s="1"/>
      <c r="D117" s="1"/>
      <c r="E117" s="61" t="s">
        <v>100</v>
      </c>
      <c r="F117" s="29" t="s">
        <v>38</v>
      </c>
      <c r="G117" s="29"/>
      <c r="H117" s="29">
        <v>261</v>
      </c>
      <c r="I117" s="29">
        <v>270</v>
      </c>
      <c r="J117" s="29"/>
      <c r="K117" s="29">
        <v>268</v>
      </c>
      <c r="L117" s="29"/>
      <c r="M117" s="32">
        <f t="shared" si="16"/>
        <v>799</v>
      </c>
      <c r="N117" s="32" t="s">
        <v>1330</v>
      </c>
      <c r="O117" s="32"/>
      <c r="P117" s="32">
        <f t="shared" si="17"/>
        <v>798.98889999999994</v>
      </c>
      <c r="Q117" s="32">
        <f t="shared" si="18"/>
        <v>3</v>
      </c>
      <c r="R117" s="32">
        <f t="shared" ca="1" si="19"/>
        <v>0</v>
      </c>
      <c r="S117" s="33" t="s">
        <v>39</v>
      </c>
      <c r="T117" s="34">
        <f t="shared" si="20"/>
        <v>0</v>
      </c>
      <c r="U117" s="34">
        <f t="shared" ca="1" si="21"/>
        <v>268</v>
      </c>
      <c r="V117" s="34">
        <f>-SUMPRODUCT((S$6:S116=S117)*(X$6:X116=X117))</f>
        <v>0</v>
      </c>
      <c r="W117" s="34">
        <f>-SUMPRODUCT((S$6:S116=S117)*(X$6:X116=X117)*(B$6:B116&lt;&gt;"NS"))</f>
        <v>0</v>
      </c>
      <c r="X117" s="35">
        <f t="shared" si="22"/>
        <v>799.29940999999997</v>
      </c>
      <c r="Y117" s="29">
        <v>270</v>
      </c>
      <c r="Z117" s="29">
        <v>268</v>
      </c>
      <c r="AA117" s="29">
        <v>261</v>
      </c>
      <c r="AB117" s="29"/>
      <c r="AC117" s="29"/>
      <c r="AD117" s="29"/>
      <c r="AF117" s="36">
        <v>0</v>
      </c>
      <c r="AG117" s="36">
        <v>0</v>
      </c>
      <c r="AH117" s="36">
        <v>0</v>
      </c>
      <c r="AI117" s="36">
        <v>0</v>
      </c>
      <c r="AJ117" s="37">
        <v>2</v>
      </c>
      <c r="AK117" s="38">
        <v>531.28440000000001</v>
      </c>
      <c r="AL117" s="39">
        <v>270</v>
      </c>
      <c r="AM117" s="32">
        <v>801</v>
      </c>
      <c r="AN117" s="39"/>
      <c r="AO117" s="39"/>
      <c r="AP117" s="39"/>
      <c r="AQ117" s="50"/>
      <c r="AS117" s="1"/>
    </row>
    <row r="118" spans="1:45" s="26" customFormat="1" ht="15">
      <c r="A118" s="1">
        <v>11</v>
      </c>
      <c r="B118" s="1">
        <v>11</v>
      </c>
      <c r="C118" s="1"/>
      <c r="D118" s="1"/>
      <c r="E118" s="61" t="s">
        <v>478</v>
      </c>
      <c r="F118" s="29" t="s">
        <v>69</v>
      </c>
      <c r="G118" s="29">
        <v>270</v>
      </c>
      <c r="H118" s="29">
        <v>265</v>
      </c>
      <c r="I118" s="29">
        <v>255</v>
      </c>
      <c r="J118" s="29">
        <v>257</v>
      </c>
      <c r="K118" s="29"/>
      <c r="L118" s="29"/>
      <c r="M118" s="32">
        <f t="shared" si="16"/>
        <v>792</v>
      </c>
      <c r="N118" s="32" t="s">
        <v>1330</v>
      </c>
      <c r="O118" s="32"/>
      <c r="P118" s="32">
        <f t="shared" si="17"/>
        <v>791.98879999999997</v>
      </c>
      <c r="Q118" s="32">
        <f t="shared" si="18"/>
        <v>4</v>
      </c>
      <c r="R118" s="32">
        <f t="shared" ca="1" si="19"/>
        <v>0</v>
      </c>
      <c r="S118" s="33" t="s">
        <v>39</v>
      </c>
      <c r="T118" s="34">
        <f t="shared" si="20"/>
        <v>0</v>
      </c>
      <c r="U118" s="34">
        <f t="shared" ca="1" si="21"/>
        <v>0</v>
      </c>
      <c r="V118" s="34">
        <f>-SUMPRODUCT((S$6:S117=S118)*(X$6:X117=X118))</f>
        <v>0</v>
      </c>
      <c r="W118" s="34">
        <f>-SUMPRODUCT((S$6:S117=S118)*(X$6:X117=X118)*(B$6:B117&lt;&gt;"NS"))</f>
        <v>0</v>
      </c>
      <c r="X118" s="35">
        <f t="shared" si="22"/>
        <v>792.29907000000003</v>
      </c>
      <c r="Y118" s="29">
        <v>270</v>
      </c>
      <c r="Z118" s="29">
        <v>265</v>
      </c>
      <c r="AA118" s="29">
        <v>257</v>
      </c>
      <c r="AB118" s="29">
        <v>255</v>
      </c>
      <c r="AC118" s="29"/>
      <c r="AD118" s="29"/>
      <c r="AF118" s="36">
        <v>0</v>
      </c>
      <c r="AG118" s="36">
        <v>0</v>
      </c>
      <c r="AH118" s="36">
        <v>0</v>
      </c>
      <c r="AI118" s="36">
        <v>0</v>
      </c>
      <c r="AJ118" s="37">
        <v>4</v>
      </c>
      <c r="AK118" s="38">
        <v>792.28872500000011</v>
      </c>
      <c r="AL118" s="39">
        <v>270</v>
      </c>
      <c r="AM118" s="32">
        <v>805</v>
      </c>
      <c r="AN118" s="39"/>
      <c r="AO118" s="39"/>
      <c r="AP118" s="39"/>
      <c r="AQ118" s="50"/>
      <c r="AS118" s="1"/>
    </row>
    <row r="119" spans="1:45" s="26" customFormat="1" ht="15">
      <c r="A119" s="1">
        <v>12</v>
      </c>
      <c r="B119" s="1">
        <v>12</v>
      </c>
      <c r="C119" s="1"/>
      <c r="D119" s="1"/>
      <c r="E119" s="61" t="s">
        <v>479</v>
      </c>
      <c r="F119" s="29" t="s">
        <v>53</v>
      </c>
      <c r="G119" s="29"/>
      <c r="H119" s="29">
        <v>255</v>
      </c>
      <c r="I119" s="29">
        <v>258</v>
      </c>
      <c r="J119" s="29">
        <v>263</v>
      </c>
      <c r="K119" s="29"/>
      <c r="L119" s="29"/>
      <c r="M119" s="32">
        <f t="shared" si="16"/>
        <v>776</v>
      </c>
      <c r="N119" s="32" t="s">
        <v>1330</v>
      </c>
      <c r="O119" s="32"/>
      <c r="P119" s="32">
        <f t="shared" si="17"/>
        <v>775.98869999999999</v>
      </c>
      <c r="Q119" s="32">
        <f t="shared" si="18"/>
        <v>3</v>
      </c>
      <c r="R119" s="32">
        <f t="shared" ca="1" si="19"/>
        <v>0</v>
      </c>
      <c r="S119" s="33" t="s">
        <v>39</v>
      </c>
      <c r="T119" s="34">
        <f t="shared" si="20"/>
        <v>0</v>
      </c>
      <c r="U119" s="34">
        <f t="shared" ca="1" si="21"/>
        <v>0</v>
      </c>
      <c r="V119" s="34">
        <f>-SUMPRODUCT((S$6:S118=S119)*(X$6:X118=X119))</f>
        <v>0</v>
      </c>
      <c r="W119" s="34">
        <f>-SUMPRODUCT((S$6:S118=S119)*(X$6:X118=X119)*(B$6:B118&lt;&gt;"NS"))</f>
        <v>0</v>
      </c>
      <c r="X119" s="35">
        <f t="shared" si="22"/>
        <v>776.29134999999997</v>
      </c>
      <c r="Y119" s="29">
        <v>263</v>
      </c>
      <c r="Z119" s="29">
        <v>258</v>
      </c>
      <c r="AA119" s="29">
        <v>255</v>
      </c>
      <c r="AB119" s="29"/>
      <c r="AC119" s="29"/>
      <c r="AD119" s="29"/>
      <c r="AF119" s="36">
        <v>0</v>
      </c>
      <c r="AG119" s="36">
        <v>0</v>
      </c>
      <c r="AH119" s="36">
        <v>0</v>
      </c>
      <c r="AI119" s="36">
        <v>0</v>
      </c>
      <c r="AJ119" s="37">
        <v>3</v>
      </c>
      <c r="AK119" s="38">
        <v>776.28065000000004</v>
      </c>
      <c r="AL119" s="39">
        <v>263</v>
      </c>
      <c r="AM119" s="32">
        <v>784</v>
      </c>
      <c r="AN119" s="39"/>
      <c r="AO119" s="39"/>
      <c r="AP119" s="39"/>
      <c r="AQ119" s="50"/>
      <c r="AS119" s="1"/>
    </row>
    <row r="120" spans="1:45" s="26" customFormat="1" ht="15">
      <c r="A120" s="1">
        <v>13</v>
      </c>
      <c r="B120" s="1">
        <v>13</v>
      </c>
      <c r="C120" s="1"/>
      <c r="D120" s="1"/>
      <c r="E120" s="61" t="s">
        <v>131</v>
      </c>
      <c r="F120" s="29" t="s">
        <v>66</v>
      </c>
      <c r="G120" s="29">
        <v>221</v>
      </c>
      <c r="H120" s="29">
        <v>239</v>
      </c>
      <c r="I120" s="29">
        <v>252</v>
      </c>
      <c r="J120" s="29"/>
      <c r="K120" s="29">
        <v>255</v>
      </c>
      <c r="L120" s="29"/>
      <c r="M120" s="32">
        <f t="shared" si="16"/>
        <v>746</v>
      </c>
      <c r="N120" s="32" t="s">
        <v>1330</v>
      </c>
      <c r="O120" s="32"/>
      <c r="P120" s="32">
        <f t="shared" si="17"/>
        <v>745.98860000000002</v>
      </c>
      <c r="Q120" s="32">
        <f t="shared" si="18"/>
        <v>4</v>
      </c>
      <c r="R120" s="32">
        <f t="shared" ca="1" si="19"/>
        <v>0</v>
      </c>
      <c r="S120" s="33" t="s">
        <v>39</v>
      </c>
      <c r="T120" s="34">
        <f t="shared" si="20"/>
        <v>0</v>
      </c>
      <c r="U120" s="34">
        <f t="shared" ca="1" si="21"/>
        <v>255</v>
      </c>
      <c r="V120" s="34">
        <f>-SUMPRODUCT((S$6:S119=S120)*(X$6:X119=X120))</f>
        <v>0</v>
      </c>
      <c r="W120" s="34">
        <f>-SUMPRODUCT((S$6:S119=S120)*(X$6:X119=X120)*(B$6:B119&lt;&gt;"NS"))</f>
        <v>0</v>
      </c>
      <c r="X120" s="35">
        <f t="shared" si="22"/>
        <v>746.28259000000003</v>
      </c>
      <c r="Y120" s="29">
        <v>255</v>
      </c>
      <c r="Z120" s="29">
        <v>252</v>
      </c>
      <c r="AA120" s="29">
        <v>239</v>
      </c>
      <c r="AB120" s="29">
        <v>221</v>
      </c>
      <c r="AC120" s="29"/>
      <c r="AD120" s="29"/>
      <c r="AF120" s="36">
        <v>0</v>
      </c>
      <c r="AG120" s="36">
        <v>0</v>
      </c>
      <c r="AH120" s="36">
        <v>0</v>
      </c>
      <c r="AI120" s="36">
        <v>0</v>
      </c>
      <c r="AJ120" s="37">
        <v>3</v>
      </c>
      <c r="AK120" s="38">
        <v>712.26720999999998</v>
      </c>
      <c r="AL120" s="39">
        <v>252</v>
      </c>
      <c r="AM120" s="32">
        <v>743</v>
      </c>
      <c r="AN120" s="39"/>
      <c r="AO120" s="39"/>
      <c r="AP120" s="39"/>
      <c r="AQ120" s="50"/>
      <c r="AS120" s="1"/>
    </row>
    <row r="121" spans="1:45" s="26" customFormat="1" ht="15">
      <c r="A121" s="1">
        <v>14</v>
      </c>
      <c r="B121" s="1">
        <v>14</v>
      </c>
      <c r="C121" s="1"/>
      <c r="D121" s="1"/>
      <c r="E121" s="61" t="s">
        <v>480</v>
      </c>
      <c r="F121" s="29" t="s">
        <v>66</v>
      </c>
      <c r="G121" s="29">
        <v>204</v>
      </c>
      <c r="H121" s="29">
        <v>203</v>
      </c>
      <c r="I121" s="29">
        <v>242</v>
      </c>
      <c r="J121" s="29">
        <v>270</v>
      </c>
      <c r="K121" s="29"/>
      <c r="L121" s="29"/>
      <c r="M121" s="32">
        <f t="shared" si="16"/>
        <v>716</v>
      </c>
      <c r="N121" s="32" t="s">
        <v>1330</v>
      </c>
      <c r="O121" s="32"/>
      <c r="P121" s="32">
        <f t="shared" si="17"/>
        <v>715.98850000000004</v>
      </c>
      <c r="Q121" s="32">
        <f t="shared" si="18"/>
        <v>4</v>
      </c>
      <c r="R121" s="32">
        <f t="shared" ca="1" si="19"/>
        <v>0</v>
      </c>
      <c r="S121" s="33" t="s">
        <v>39</v>
      </c>
      <c r="T121" s="34">
        <f t="shared" si="20"/>
        <v>0</v>
      </c>
      <c r="U121" s="34">
        <f t="shared" ca="1" si="21"/>
        <v>0</v>
      </c>
      <c r="V121" s="34">
        <f>-SUMPRODUCT((S$6:S120=S121)*(X$6:X120=X121))</f>
        <v>0</v>
      </c>
      <c r="W121" s="34">
        <f>-SUMPRODUCT((S$6:S120=S121)*(X$6:X120=X121)*(B$6:B120&lt;&gt;"NS"))</f>
        <v>0</v>
      </c>
      <c r="X121" s="35">
        <f t="shared" si="22"/>
        <v>716.29624000000001</v>
      </c>
      <c r="Y121" s="29">
        <v>270</v>
      </c>
      <c r="Z121" s="29">
        <v>242</v>
      </c>
      <c r="AA121" s="29">
        <v>204</v>
      </c>
      <c r="AB121" s="29">
        <v>203</v>
      </c>
      <c r="AC121" s="29"/>
      <c r="AD121" s="29"/>
      <c r="AF121" s="36">
        <v>0</v>
      </c>
      <c r="AG121" s="36">
        <v>0</v>
      </c>
      <c r="AH121" s="36">
        <v>0</v>
      </c>
      <c r="AI121" s="36">
        <v>0</v>
      </c>
      <c r="AJ121" s="37">
        <v>4</v>
      </c>
      <c r="AK121" s="38">
        <v>716.28564299999994</v>
      </c>
      <c r="AL121" s="39">
        <v>270</v>
      </c>
      <c r="AM121" s="32">
        <v>782</v>
      </c>
      <c r="AN121" s="39"/>
      <c r="AO121" s="39"/>
      <c r="AP121" s="39"/>
      <c r="AQ121" s="50"/>
      <c r="AS121" s="1"/>
    </row>
    <row r="122" spans="1:45" s="26" customFormat="1" ht="15">
      <c r="A122" s="1">
        <v>15</v>
      </c>
      <c r="B122" s="1">
        <v>15</v>
      </c>
      <c r="C122" s="1"/>
      <c r="D122" s="1"/>
      <c r="E122" s="61" t="s">
        <v>135</v>
      </c>
      <c r="F122" s="29" t="s">
        <v>38</v>
      </c>
      <c r="G122" s="29">
        <v>182</v>
      </c>
      <c r="H122" s="29">
        <v>206</v>
      </c>
      <c r="I122" s="29">
        <v>224</v>
      </c>
      <c r="J122" s="29">
        <v>236</v>
      </c>
      <c r="K122" s="29">
        <v>253</v>
      </c>
      <c r="L122" s="29"/>
      <c r="M122" s="32">
        <f t="shared" si="16"/>
        <v>713</v>
      </c>
      <c r="N122" s="32" t="s">
        <v>1330</v>
      </c>
      <c r="O122" s="32"/>
      <c r="P122" s="32">
        <f t="shared" si="17"/>
        <v>712.98839999999996</v>
      </c>
      <c r="Q122" s="32">
        <f t="shared" si="18"/>
        <v>5</v>
      </c>
      <c r="R122" s="32">
        <f t="shared" ca="1" si="19"/>
        <v>0</v>
      </c>
      <c r="S122" s="33" t="s">
        <v>39</v>
      </c>
      <c r="T122" s="34">
        <f t="shared" si="20"/>
        <v>0</v>
      </c>
      <c r="U122" s="34">
        <f t="shared" ca="1" si="21"/>
        <v>253</v>
      </c>
      <c r="V122" s="34">
        <f>-SUMPRODUCT((S$6:S121=S122)*(X$6:X121=X122))</f>
        <v>0</v>
      </c>
      <c r="W122" s="34">
        <f>-SUMPRODUCT((S$6:S121=S122)*(X$6:X121=X122)*(B$6:B121&lt;&gt;"NS"))</f>
        <v>0</v>
      </c>
      <c r="X122" s="35">
        <f t="shared" si="22"/>
        <v>713.27883999999995</v>
      </c>
      <c r="Y122" s="29">
        <v>253</v>
      </c>
      <c r="Z122" s="29">
        <v>236</v>
      </c>
      <c r="AA122" s="29">
        <v>224</v>
      </c>
      <c r="AB122" s="29">
        <v>206</v>
      </c>
      <c r="AC122" s="29">
        <v>182</v>
      </c>
      <c r="AD122" s="29"/>
      <c r="AF122" s="36">
        <v>0</v>
      </c>
      <c r="AG122" s="36">
        <v>0</v>
      </c>
      <c r="AH122" s="36">
        <v>0</v>
      </c>
      <c r="AI122" s="36">
        <v>0</v>
      </c>
      <c r="AJ122" s="37">
        <v>4</v>
      </c>
      <c r="AK122" s="38">
        <v>666.24954199999991</v>
      </c>
      <c r="AL122" s="39">
        <v>236</v>
      </c>
      <c r="AM122" s="32">
        <v>696</v>
      </c>
      <c r="AN122" s="39"/>
      <c r="AO122" s="39"/>
      <c r="AP122" s="39"/>
      <c r="AQ122" s="50"/>
      <c r="AS122" s="1"/>
    </row>
    <row r="123" spans="1:45" s="26" customFormat="1" ht="15">
      <c r="A123" s="1">
        <v>16</v>
      </c>
      <c r="B123" s="1">
        <v>16</v>
      </c>
      <c r="C123" s="1"/>
      <c r="D123" s="1"/>
      <c r="E123" s="61" t="s">
        <v>481</v>
      </c>
      <c r="F123" s="29" t="s">
        <v>88</v>
      </c>
      <c r="G123" s="29">
        <v>212</v>
      </c>
      <c r="H123" s="29">
        <v>224</v>
      </c>
      <c r="I123" s="29">
        <v>257</v>
      </c>
      <c r="J123" s="29"/>
      <c r="K123" s="29"/>
      <c r="L123" s="29"/>
      <c r="M123" s="32">
        <f t="shared" si="16"/>
        <v>693</v>
      </c>
      <c r="N123" s="32" t="s">
        <v>1330</v>
      </c>
      <c r="O123" s="32"/>
      <c r="P123" s="32">
        <f t="shared" si="17"/>
        <v>692.98829999999998</v>
      </c>
      <c r="Q123" s="32">
        <f t="shared" si="18"/>
        <v>3</v>
      </c>
      <c r="R123" s="32">
        <f t="shared" ca="1" si="19"/>
        <v>0</v>
      </c>
      <c r="S123" s="33" t="s">
        <v>39</v>
      </c>
      <c r="T123" s="34">
        <f t="shared" si="20"/>
        <v>0</v>
      </c>
      <c r="U123" s="34">
        <f t="shared" ca="1" si="21"/>
        <v>0</v>
      </c>
      <c r="V123" s="34">
        <f>-SUMPRODUCT((S$6:S122=S123)*(X$6:X122=X123))</f>
        <v>0</v>
      </c>
      <c r="W123" s="34">
        <f>-SUMPRODUCT((S$6:S122=S123)*(X$6:X122=X123)*(B$6:B122&lt;&gt;"NS"))</f>
        <v>0</v>
      </c>
      <c r="X123" s="35">
        <f t="shared" si="22"/>
        <v>693.28152</v>
      </c>
      <c r="Y123" s="29">
        <v>257</v>
      </c>
      <c r="Z123" s="29">
        <v>224</v>
      </c>
      <c r="AA123" s="29">
        <v>212</v>
      </c>
      <c r="AB123" s="29"/>
      <c r="AC123" s="29"/>
      <c r="AD123" s="29"/>
      <c r="AF123" s="36">
        <v>0</v>
      </c>
      <c r="AG123" s="36">
        <v>0</v>
      </c>
      <c r="AH123" s="36">
        <v>0</v>
      </c>
      <c r="AI123" s="36">
        <v>0</v>
      </c>
      <c r="AJ123" s="37">
        <v>3</v>
      </c>
      <c r="AK123" s="38">
        <v>693.27051999999992</v>
      </c>
      <c r="AL123" s="39">
        <v>257</v>
      </c>
      <c r="AM123" s="32">
        <v>738</v>
      </c>
      <c r="AN123" s="39"/>
      <c r="AO123" s="39"/>
      <c r="AP123" s="39"/>
      <c r="AQ123" s="50"/>
      <c r="AS123" s="1"/>
    </row>
    <row r="124" spans="1:45" s="26" customFormat="1" ht="15">
      <c r="A124" s="1">
        <v>17</v>
      </c>
      <c r="B124" s="1">
        <v>17</v>
      </c>
      <c r="C124" s="1"/>
      <c r="D124" s="1"/>
      <c r="E124" s="61" t="s">
        <v>482</v>
      </c>
      <c r="F124" s="29" t="s">
        <v>134</v>
      </c>
      <c r="G124" s="29">
        <v>202</v>
      </c>
      <c r="H124" s="29">
        <v>185</v>
      </c>
      <c r="I124" s="29">
        <v>230</v>
      </c>
      <c r="J124" s="29">
        <v>223</v>
      </c>
      <c r="K124" s="29"/>
      <c r="L124" s="29"/>
      <c r="M124" s="32">
        <f t="shared" si="16"/>
        <v>655</v>
      </c>
      <c r="N124" s="32" t="s">
        <v>1330</v>
      </c>
      <c r="O124" s="32"/>
      <c r="P124" s="32">
        <f t="shared" si="17"/>
        <v>654.98820000000001</v>
      </c>
      <c r="Q124" s="32">
        <f t="shared" si="18"/>
        <v>4</v>
      </c>
      <c r="R124" s="32">
        <f t="shared" ca="1" si="19"/>
        <v>0</v>
      </c>
      <c r="S124" s="33" t="s">
        <v>39</v>
      </c>
      <c r="T124" s="34">
        <f t="shared" si="20"/>
        <v>0</v>
      </c>
      <c r="U124" s="34">
        <f t="shared" ca="1" si="21"/>
        <v>0</v>
      </c>
      <c r="V124" s="34">
        <f>-SUMPRODUCT((S$6:S123=S124)*(X$6:X123=X124))</f>
        <v>0</v>
      </c>
      <c r="W124" s="34">
        <f>-SUMPRODUCT((S$6:S123=S124)*(X$6:X123=X124)*(B$6:B123&lt;&gt;"NS"))</f>
        <v>0</v>
      </c>
      <c r="X124" s="35">
        <f t="shared" si="22"/>
        <v>655.25432000000001</v>
      </c>
      <c r="Y124" s="29">
        <v>230</v>
      </c>
      <c r="Z124" s="29">
        <v>223</v>
      </c>
      <c r="AA124" s="29">
        <v>202</v>
      </c>
      <c r="AB124" s="29">
        <v>185</v>
      </c>
      <c r="AC124" s="29"/>
      <c r="AD124" s="29"/>
      <c r="AF124" s="36">
        <v>0</v>
      </c>
      <c r="AG124" s="36">
        <v>0</v>
      </c>
      <c r="AH124" s="36">
        <v>0</v>
      </c>
      <c r="AI124" s="36">
        <v>0</v>
      </c>
      <c r="AJ124" s="37">
        <v>4</v>
      </c>
      <c r="AK124" s="38">
        <v>655.24330499999996</v>
      </c>
      <c r="AL124" s="39">
        <v>230</v>
      </c>
      <c r="AM124" s="32">
        <v>683</v>
      </c>
      <c r="AN124" s="39"/>
      <c r="AO124" s="39"/>
      <c r="AP124" s="39"/>
      <c r="AQ124" s="50"/>
      <c r="AS124" s="1"/>
    </row>
    <row r="125" spans="1:45" s="26" customFormat="1" ht="15">
      <c r="A125" s="1">
        <v>18</v>
      </c>
      <c r="B125" s="1">
        <v>18</v>
      </c>
      <c r="C125" s="1"/>
      <c r="D125" s="1"/>
      <c r="E125" s="61" t="s">
        <v>169</v>
      </c>
      <c r="F125" s="29" t="s">
        <v>84</v>
      </c>
      <c r="G125" s="29">
        <v>207</v>
      </c>
      <c r="H125" s="29">
        <v>205</v>
      </c>
      <c r="I125" s="29"/>
      <c r="J125" s="29"/>
      <c r="K125" s="29">
        <v>234</v>
      </c>
      <c r="L125" s="29"/>
      <c r="M125" s="32">
        <f t="shared" si="16"/>
        <v>646</v>
      </c>
      <c r="N125" s="32" t="s">
        <v>1330</v>
      </c>
      <c r="O125" s="32"/>
      <c r="P125" s="32">
        <f t="shared" si="17"/>
        <v>645.98810000000003</v>
      </c>
      <c r="Q125" s="32">
        <f t="shared" si="18"/>
        <v>3</v>
      </c>
      <c r="R125" s="32">
        <f t="shared" ca="1" si="19"/>
        <v>0</v>
      </c>
      <c r="S125" s="33" t="s">
        <v>39</v>
      </c>
      <c r="T125" s="34">
        <f t="shared" si="20"/>
        <v>0</v>
      </c>
      <c r="U125" s="34">
        <f t="shared" ca="1" si="21"/>
        <v>234</v>
      </c>
      <c r="V125" s="34">
        <f>-SUMPRODUCT((S$6:S124=S125)*(X$6:X124=X125))</f>
        <v>0</v>
      </c>
      <c r="W125" s="34">
        <f>-SUMPRODUCT((S$6:S124=S125)*(X$6:X124=X125)*(B$6:B124&lt;&gt;"NS"))</f>
        <v>0</v>
      </c>
      <c r="X125" s="35">
        <f t="shared" si="22"/>
        <v>646.25675000000001</v>
      </c>
      <c r="Y125" s="29">
        <v>234</v>
      </c>
      <c r="Z125" s="29">
        <v>207</v>
      </c>
      <c r="AA125" s="29">
        <v>205</v>
      </c>
      <c r="AB125" s="29"/>
      <c r="AC125" s="29"/>
      <c r="AD125" s="29"/>
      <c r="AF125" s="36">
        <v>0</v>
      </c>
      <c r="AG125" s="36">
        <v>0</v>
      </c>
      <c r="AH125" s="36">
        <v>0</v>
      </c>
      <c r="AI125" s="36">
        <v>0</v>
      </c>
      <c r="AJ125" s="37">
        <v>2</v>
      </c>
      <c r="AK125" s="38">
        <v>412.21469999999999</v>
      </c>
      <c r="AL125" s="39">
        <v>207</v>
      </c>
      <c r="AM125" s="32">
        <v>619</v>
      </c>
      <c r="AN125" s="39"/>
      <c r="AO125" s="39"/>
      <c r="AP125" s="39"/>
      <c r="AQ125" s="50"/>
      <c r="AS125" s="1"/>
    </row>
    <row r="126" spans="1:45" s="26" customFormat="1" ht="15">
      <c r="A126" s="1">
        <v>19</v>
      </c>
      <c r="B126" s="1">
        <v>19</v>
      </c>
      <c r="C126" s="1"/>
      <c r="D126" s="1"/>
      <c r="E126" s="61" t="s">
        <v>175</v>
      </c>
      <c r="F126" s="29" t="s">
        <v>88</v>
      </c>
      <c r="G126" s="29"/>
      <c r="H126" s="29">
        <v>188</v>
      </c>
      <c r="I126" s="29">
        <v>179</v>
      </c>
      <c r="J126" s="29">
        <v>217</v>
      </c>
      <c r="K126" s="29">
        <v>230</v>
      </c>
      <c r="L126" s="29"/>
      <c r="M126" s="32">
        <f t="shared" si="16"/>
        <v>635</v>
      </c>
      <c r="N126" s="32" t="s">
        <v>1330</v>
      </c>
      <c r="O126" s="32"/>
      <c r="P126" s="32">
        <f t="shared" si="17"/>
        <v>634.98800000000006</v>
      </c>
      <c r="Q126" s="32">
        <f t="shared" si="18"/>
        <v>4</v>
      </c>
      <c r="R126" s="32">
        <f t="shared" ca="1" si="19"/>
        <v>0</v>
      </c>
      <c r="S126" s="33" t="s">
        <v>39</v>
      </c>
      <c r="T126" s="34">
        <f t="shared" si="20"/>
        <v>0</v>
      </c>
      <c r="U126" s="34">
        <f t="shared" ca="1" si="21"/>
        <v>230</v>
      </c>
      <c r="V126" s="34">
        <f>-SUMPRODUCT((S$6:S125=S126)*(X$6:X125=X126))</f>
        <v>0</v>
      </c>
      <c r="W126" s="34">
        <f>-SUMPRODUCT((S$6:S125=S126)*(X$6:X125=X126)*(B$6:B125&lt;&gt;"NS"))</f>
        <v>0</v>
      </c>
      <c r="X126" s="35">
        <f t="shared" si="22"/>
        <v>635.25358000000006</v>
      </c>
      <c r="Y126" s="29">
        <v>230</v>
      </c>
      <c r="Z126" s="29">
        <v>217</v>
      </c>
      <c r="AA126" s="29">
        <v>188</v>
      </c>
      <c r="AB126" s="29">
        <v>179</v>
      </c>
      <c r="AC126" s="29"/>
      <c r="AD126" s="29"/>
      <c r="AF126" s="36">
        <v>0</v>
      </c>
      <c r="AG126" s="36">
        <v>0</v>
      </c>
      <c r="AH126" s="36">
        <v>0</v>
      </c>
      <c r="AI126" s="36">
        <v>0</v>
      </c>
      <c r="AJ126" s="37">
        <v>3</v>
      </c>
      <c r="AK126" s="38">
        <v>584.22629000000006</v>
      </c>
      <c r="AL126" s="39">
        <v>217</v>
      </c>
      <c r="AM126" s="32">
        <v>622</v>
      </c>
      <c r="AN126" s="39"/>
      <c r="AO126" s="39"/>
      <c r="AP126" s="39"/>
      <c r="AQ126" s="50"/>
      <c r="AS126" s="1"/>
    </row>
    <row r="127" spans="1:45" s="26" customFormat="1" ht="15">
      <c r="A127" s="1">
        <v>20</v>
      </c>
      <c r="B127" s="1">
        <v>20</v>
      </c>
      <c r="C127" s="1"/>
      <c r="D127" s="1"/>
      <c r="E127" s="61" t="s">
        <v>164</v>
      </c>
      <c r="F127" s="29" t="s">
        <v>29</v>
      </c>
      <c r="G127" s="29">
        <v>120</v>
      </c>
      <c r="H127" s="29">
        <v>149</v>
      </c>
      <c r="I127" s="29">
        <v>167</v>
      </c>
      <c r="J127" s="29">
        <v>214</v>
      </c>
      <c r="K127" s="29">
        <v>238</v>
      </c>
      <c r="L127" s="29"/>
      <c r="M127" s="32">
        <f t="shared" si="16"/>
        <v>619</v>
      </c>
      <c r="N127" s="32" t="s">
        <v>1330</v>
      </c>
      <c r="O127" s="32"/>
      <c r="P127" s="32">
        <f t="shared" si="17"/>
        <v>618.98789999999997</v>
      </c>
      <c r="Q127" s="32">
        <f t="shared" si="18"/>
        <v>5</v>
      </c>
      <c r="R127" s="32">
        <f t="shared" ca="1" si="19"/>
        <v>0</v>
      </c>
      <c r="S127" s="33" t="s">
        <v>39</v>
      </c>
      <c r="T127" s="34">
        <f t="shared" si="20"/>
        <v>0</v>
      </c>
      <c r="U127" s="34">
        <f t="shared" ca="1" si="21"/>
        <v>238</v>
      </c>
      <c r="V127" s="34">
        <f>-SUMPRODUCT((S$6:S126=S127)*(X$6:X126=X127))</f>
        <v>0</v>
      </c>
      <c r="W127" s="34">
        <f>-SUMPRODUCT((S$6:S126=S127)*(X$6:X126=X127)*(B$6:B126&lt;&gt;"NS"))</f>
        <v>0</v>
      </c>
      <c r="X127" s="35">
        <f t="shared" si="22"/>
        <v>619.26107000000002</v>
      </c>
      <c r="Y127" s="29">
        <v>238</v>
      </c>
      <c r="Z127" s="29">
        <v>214</v>
      </c>
      <c r="AA127" s="29">
        <v>167</v>
      </c>
      <c r="AB127" s="29">
        <v>149</v>
      </c>
      <c r="AC127" s="29">
        <v>120</v>
      </c>
      <c r="AD127" s="29"/>
      <c r="AF127" s="36">
        <v>0</v>
      </c>
      <c r="AG127" s="36">
        <v>0</v>
      </c>
      <c r="AH127" s="36">
        <v>0</v>
      </c>
      <c r="AI127" s="36">
        <v>0</v>
      </c>
      <c r="AJ127" s="37">
        <v>4</v>
      </c>
      <c r="AK127" s="38">
        <v>530.2205100000001</v>
      </c>
      <c r="AL127" s="39">
        <v>214</v>
      </c>
      <c r="AM127" s="32">
        <v>595</v>
      </c>
      <c r="AN127" s="39"/>
      <c r="AO127" s="39"/>
      <c r="AP127" s="39"/>
      <c r="AQ127" s="50"/>
      <c r="AS127" s="1"/>
    </row>
    <row r="128" spans="1:45" s="26" customFormat="1" ht="15">
      <c r="A128" s="1">
        <v>21</v>
      </c>
      <c r="B128" s="1">
        <v>21</v>
      </c>
      <c r="C128" s="1"/>
      <c r="D128" s="1"/>
      <c r="E128" s="61" t="s">
        <v>185</v>
      </c>
      <c r="F128" s="29" t="s">
        <v>88</v>
      </c>
      <c r="G128" s="29">
        <v>146</v>
      </c>
      <c r="H128" s="29">
        <v>172</v>
      </c>
      <c r="I128" s="29"/>
      <c r="J128" s="29">
        <v>198</v>
      </c>
      <c r="K128" s="29">
        <v>224</v>
      </c>
      <c r="L128" s="29"/>
      <c r="M128" s="32">
        <f t="shared" si="16"/>
        <v>594</v>
      </c>
      <c r="N128" s="32" t="s">
        <v>1330</v>
      </c>
      <c r="O128" s="32"/>
      <c r="P128" s="32">
        <f t="shared" si="17"/>
        <v>593.98779999999999</v>
      </c>
      <c r="Q128" s="32">
        <f t="shared" si="18"/>
        <v>4</v>
      </c>
      <c r="R128" s="32">
        <f t="shared" ca="1" si="19"/>
        <v>0</v>
      </c>
      <c r="S128" s="33" t="s">
        <v>39</v>
      </c>
      <c r="T128" s="34">
        <f t="shared" si="20"/>
        <v>0</v>
      </c>
      <c r="U128" s="34">
        <f t="shared" ca="1" si="21"/>
        <v>224</v>
      </c>
      <c r="V128" s="34">
        <f>-SUMPRODUCT((S$6:S127=S128)*(X$6:X127=X128))</f>
        <v>0</v>
      </c>
      <c r="W128" s="34">
        <f>-SUMPRODUCT((S$6:S127=S128)*(X$6:X127=X128)*(B$6:B127&lt;&gt;"NS"))</f>
        <v>0</v>
      </c>
      <c r="X128" s="35">
        <f t="shared" si="22"/>
        <v>594.24552000000006</v>
      </c>
      <c r="Y128" s="29">
        <v>224</v>
      </c>
      <c r="Z128" s="29">
        <v>198</v>
      </c>
      <c r="AA128" s="29">
        <v>172</v>
      </c>
      <c r="AB128" s="29">
        <v>146</v>
      </c>
      <c r="AC128" s="29"/>
      <c r="AD128" s="29"/>
      <c r="AF128" s="36">
        <v>0</v>
      </c>
      <c r="AG128" s="36">
        <v>0</v>
      </c>
      <c r="AH128" s="36">
        <v>0</v>
      </c>
      <c r="AI128" s="36">
        <v>0</v>
      </c>
      <c r="AJ128" s="37">
        <v>3</v>
      </c>
      <c r="AK128" s="38">
        <v>516.20465999999999</v>
      </c>
      <c r="AL128" s="39">
        <v>198</v>
      </c>
      <c r="AM128" s="32">
        <v>568</v>
      </c>
      <c r="AN128" s="39"/>
      <c r="AO128" s="39"/>
      <c r="AP128" s="39"/>
      <c r="AQ128" s="50"/>
      <c r="AS128" s="1"/>
    </row>
    <row r="129" spans="1:45" s="26" customFormat="1" ht="15">
      <c r="A129" s="1">
        <v>22</v>
      </c>
      <c r="B129" s="1">
        <v>22</v>
      </c>
      <c r="C129" s="1"/>
      <c r="D129" s="1"/>
      <c r="E129" s="61" t="s">
        <v>212</v>
      </c>
      <c r="F129" s="29" t="s">
        <v>118</v>
      </c>
      <c r="G129" s="29"/>
      <c r="H129" s="29">
        <v>136</v>
      </c>
      <c r="I129" s="29">
        <v>169</v>
      </c>
      <c r="J129" s="29">
        <v>194</v>
      </c>
      <c r="K129" s="29">
        <v>210</v>
      </c>
      <c r="L129" s="29"/>
      <c r="M129" s="32">
        <f t="shared" si="16"/>
        <v>573</v>
      </c>
      <c r="N129" s="32" t="s">
        <v>1330</v>
      </c>
      <c r="O129" s="32"/>
      <c r="P129" s="32">
        <f t="shared" si="17"/>
        <v>572.98770000000002</v>
      </c>
      <c r="Q129" s="32">
        <f t="shared" si="18"/>
        <v>4</v>
      </c>
      <c r="R129" s="32">
        <f t="shared" ca="1" si="19"/>
        <v>0</v>
      </c>
      <c r="S129" s="33" t="s">
        <v>39</v>
      </c>
      <c r="T129" s="34">
        <f t="shared" si="20"/>
        <v>0</v>
      </c>
      <c r="U129" s="34">
        <f t="shared" ca="1" si="21"/>
        <v>210</v>
      </c>
      <c r="V129" s="34">
        <f>-SUMPRODUCT((S$6:S128=S129)*(X$6:X128=X129))</f>
        <v>0</v>
      </c>
      <c r="W129" s="34">
        <f>-SUMPRODUCT((S$6:S128=S129)*(X$6:X128=X129)*(B$6:B128&lt;&gt;"NS"))</f>
        <v>0</v>
      </c>
      <c r="X129" s="35">
        <f t="shared" si="22"/>
        <v>573.23108999999999</v>
      </c>
      <c r="Y129" s="29">
        <v>210</v>
      </c>
      <c r="Z129" s="29">
        <v>194</v>
      </c>
      <c r="AA129" s="29">
        <v>169</v>
      </c>
      <c r="AB129" s="29">
        <v>136</v>
      </c>
      <c r="AC129" s="29"/>
      <c r="AD129" s="29"/>
      <c r="AF129" s="36">
        <v>0</v>
      </c>
      <c r="AG129" s="36">
        <v>0</v>
      </c>
      <c r="AH129" s="36">
        <v>0</v>
      </c>
      <c r="AI129" s="36">
        <v>0</v>
      </c>
      <c r="AJ129" s="37">
        <v>3</v>
      </c>
      <c r="AK129" s="38">
        <v>499.20006000000001</v>
      </c>
      <c r="AL129" s="39">
        <v>194</v>
      </c>
      <c r="AM129" s="32">
        <v>557</v>
      </c>
      <c r="AN129" s="39"/>
      <c r="AO129" s="39"/>
      <c r="AP129" s="39"/>
      <c r="AQ129" s="50"/>
      <c r="AS129" s="1"/>
    </row>
    <row r="130" spans="1:45" s="26" customFormat="1" ht="15">
      <c r="A130" s="1">
        <v>23</v>
      </c>
      <c r="B130" s="1">
        <v>23</v>
      </c>
      <c r="C130" s="1"/>
      <c r="D130" s="1"/>
      <c r="E130" s="61" t="s">
        <v>483</v>
      </c>
      <c r="F130" s="29" t="s">
        <v>57</v>
      </c>
      <c r="G130" s="29">
        <v>276</v>
      </c>
      <c r="H130" s="29"/>
      <c r="I130" s="29">
        <v>282</v>
      </c>
      <c r="J130" s="29"/>
      <c r="K130" s="29"/>
      <c r="L130" s="29"/>
      <c r="M130" s="32">
        <f t="shared" si="16"/>
        <v>558</v>
      </c>
      <c r="N130" s="32" t="s">
        <v>1330</v>
      </c>
      <c r="O130" s="32"/>
      <c r="P130" s="32">
        <f t="shared" si="17"/>
        <v>557.98760000000004</v>
      </c>
      <c r="Q130" s="32">
        <f t="shared" si="18"/>
        <v>2</v>
      </c>
      <c r="R130" s="32">
        <f t="shared" ca="1" si="19"/>
        <v>0</v>
      </c>
      <c r="S130" s="33" t="s">
        <v>39</v>
      </c>
      <c r="T130" s="34">
        <f t="shared" si="20"/>
        <v>0</v>
      </c>
      <c r="U130" s="34">
        <f t="shared" ca="1" si="21"/>
        <v>0</v>
      </c>
      <c r="V130" s="34">
        <f>-SUMPRODUCT((S$6:S129=S130)*(X$6:X129=X130))</f>
        <v>0</v>
      </c>
      <c r="W130" s="34">
        <f>-SUMPRODUCT((S$6:S129=S130)*(X$6:X129=X130)*(B$6:B129&lt;&gt;"NS"))</f>
        <v>0</v>
      </c>
      <c r="X130" s="35">
        <f t="shared" si="22"/>
        <v>558.30960000000005</v>
      </c>
      <c r="Y130" s="29">
        <v>282</v>
      </c>
      <c r="Z130" s="29">
        <v>276</v>
      </c>
      <c r="AA130" s="29"/>
      <c r="AB130" s="29"/>
      <c r="AC130" s="29"/>
      <c r="AD130" s="29"/>
      <c r="AF130" s="36">
        <v>0</v>
      </c>
      <c r="AG130" s="36">
        <v>0</v>
      </c>
      <c r="AH130" s="36">
        <v>0</v>
      </c>
      <c r="AI130" s="36">
        <v>0</v>
      </c>
      <c r="AJ130" s="37">
        <v>2</v>
      </c>
      <c r="AK130" s="38">
        <v>558.29820000000007</v>
      </c>
      <c r="AL130" s="39">
        <v>282</v>
      </c>
      <c r="AM130" s="32">
        <v>840</v>
      </c>
      <c r="AN130" s="39"/>
      <c r="AO130" s="39"/>
      <c r="AP130" s="39"/>
      <c r="AQ130" s="50"/>
      <c r="AS130" s="1"/>
    </row>
    <row r="131" spans="1:45" s="26" customFormat="1" ht="15">
      <c r="A131" s="1">
        <v>24</v>
      </c>
      <c r="B131" s="1">
        <v>24</v>
      </c>
      <c r="C131" s="1"/>
      <c r="D131" s="1"/>
      <c r="E131" s="61" t="s">
        <v>484</v>
      </c>
      <c r="F131" s="29" t="s">
        <v>485</v>
      </c>
      <c r="G131" s="29">
        <v>281</v>
      </c>
      <c r="H131" s="29">
        <v>275</v>
      </c>
      <c r="I131" s="29"/>
      <c r="J131" s="29"/>
      <c r="K131" s="29"/>
      <c r="L131" s="29"/>
      <c r="M131" s="32">
        <f t="shared" si="16"/>
        <v>556</v>
      </c>
      <c r="N131" s="32" t="s">
        <v>1330</v>
      </c>
      <c r="O131" s="32"/>
      <c r="P131" s="32">
        <f t="shared" si="17"/>
        <v>555.98749999999995</v>
      </c>
      <c r="Q131" s="32">
        <f t="shared" si="18"/>
        <v>2</v>
      </c>
      <c r="R131" s="32">
        <f t="shared" ca="1" si="19"/>
        <v>0</v>
      </c>
      <c r="S131" s="33" t="s">
        <v>39</v>
      </c>
      <c r="T131" s="34">
        <f t="shared" si="20"/>
        <v>0</v>
      </c>
      <c r="U131" s="34">
        <f t="shared" ca="1" si="21"/>
        <v>0</v>
      </c>
      <c r="V131" s="34">
        <f>-SUMPRODUCT((S$6:S130=S131)*(X$6:X130=X131))</f>
        <v>0</v>
      </c>
      <c r="W131" s="34">
        <f>-SUMPRODUCT((S$6:S130=S131)*(X$6:X130=X131)*(B$6:B130&lt;&gt;"NS"))</f>
        <v>0</v>
      </c>
      <c r="X131" s="35">
        <f t="shared" si="22"/>
        <v>556.30849999999998</v>
      </c>
      <c r="Y131" s="29">
        <v>281</v>
      </c>
      <c r="Z131" s="29">
        <v>275</v>
      </c>
      <c r="AA131" s="29"/>
      <c r="AB131" s="29"/>
      <c r="AC131" s="29"/>
      <c r="AD131" s="29"/>
      <c r="AF131" s="36">
        <v>0</v>
      </c>
      <c r="AG131" s="36">
        <v>0</v>
      </c>
      <c r="AH131" s="36">
        <v>0</v>
      </c>
      <c r="AI131" s="36">
        <v>0</v>
      </c>
      <c r="AJ131" s="37">
        <v>2</v>
      </c>
      <c r="AK131" s="38">
        <v>556.29700000000003</v>
      </c>
      <c r="AL131" s="39">
        <v>281</v>
      </c>
      <c r="AM131" s="32">
        <v>837</v>
      </c>
      <c r="AN131" s="39"/>
      <c r="AO131" s="39"/>
      <c r="AP131" s="39"/>
      <c r="AQ131" s="50"/>
      <c r="AS131" s="1"/>
    </row>
    <row r="132" spans="1:45" s="26" customFormat="1" ht="15">
      <c r="A132" s="1">
        <v>25</v>
      </c>
      <c r="B132" s="1">
        <v>25</v>
      </c>
      <c r="C132" s="1"/>
      <c r="D132" s="1"/>
      <c r="E132" s="61" t="s">
        <v>486</v>
      </c>
      <c r="F132" s="29" t="s">
        <v>57</v>
      </c>
      <c r="G132" s="29">
        <v>154</v>
      </c>
      <c r="H132" s="29">
        <v>160</v>
      </c>
      <c r="I132" s="29">
        <v>174</v>
      </c>
      <c r="J132" s="29">
        <v>219</v>
      </c>
      <c r="K132" s="29"/>
      <c r="L132" s="29"/>
      <c r="M132" s="32">
        <f t="shared" si="16"/>
        <v>553</v>
      </c>
      <c r="N132" s="32" t="s">
        <v>1330</v>
      </c>
      <c r="O132" s="32"/>
      <c r="P132" s="32">
        <f t="shared" si="17"/>
        <v>552.98739999999998</v>
      </c>
      <c r="Q132" s="32">
        <f t="shared" si="18"/>
        <v>4</v>
      </c>
      <c r="R132" s="32">
        <f t="shared" ca="1" si="19"/>
        <v>0</v>
      </c>
      <c r="S132" s="33" t="s">
        <v>39</v>
      </c>
      <c r="T132" s="34">
        <f t="shared" si="20"/>
        <v>0</v>
      </c>
      <c r="U132" s="34">
        <f t="shared" ca="1" si="21"/>
        <v>0</v>
      </c>
      <c r="V132" s="34">
        <f>-SUMPRODUCT((S$6:S131=S132)*(X$6:X131=X132))</f>
        <v>0</v>
      </c>
      <c r="W132" s="34">
        <f>-SUMPRODUCT((S$6:S131=S132)*(X$6:X131=X132)*(B$6:B131&lt;&gt;"NS"))</f>
        <v>0</v>
      </c>
      <c r="X132" s="35">
        <f t="shared" si="22"/>
        <v>553.23800000000006</v>
      </c>
      <c r="Y132" s="29">
        <v>219</v>
      </c>
      <c r="Z132" s="29">
        <v>174</v>
      </c>
      <c r="AA132" s="29">
        <v>160</v>
      </c>
      <c r="AB132" s="29">
        <v>154</v>
      </c>
      <c r="AC132" s="29"/>
      <c r="AD132" s="29"/>
      <c r="AF132" s="36">
        <v>0</v>
      </c>
      <c r="AG132" s="36">
        <v>0</v>
      </c>
      <c r="AH132" s="36">
        <v>0</v>
      </c>
      <c r="AI132" s="36">
        <v>0</v>
      </c>
      <c r="AJ132" s="37">
        <v>4</v>
      </c>
      <c r="AK132" s="38">
        <v>553.22655399999996</v>
      </c>
      <c r="AL132" s="39">
        <v>219</v>
      </c>
      <c r="AM132" s="32">
        <v>612</v>
      </c>
      <c r="AN132" s="39"/>
      <c r="AO132" s="39"/>
      <c r="AP132" s="39"/>
      <c r="AQ132" s="50"/>
      <c r="AS132" s="1"/>
    </row>
    <row r="133" spans="1:45" s="26" customFormat="1" ht="15">
      <c r="A133" s="1">
        <v>26</v>
      </c>
      <c r="B133" s="1">
        <v>26</v>
      </c>
      <c r="C133" s="1"/>
      <c r="D133" s="1"/>
      <c r="E133" s="61" t="s">
        <v>487</v>
      </c>
      <c r="F133" s="29" t="s">
        <v>66</v>
      </c>
      <c r="G133" s="29">
        <v>152</v>
      </c>
      <c r="H133" s="29">
        <v>165</v>
      </c>
      <c r="I133" s="29"/>
      <c r="J133" s="29">
        <v>201</v>
      </c>
      <c r="K133" s="29"/>
      <c r="L133" s="29"/>
      <c r="M133" s="32">
        <f t="shared" si="16"/>
        <v>518</v>
      </c>
      <c r="N133" s="32" t="s">
        <v>1330</v>
      </c>
      <c r="O133" s="32"/>
      <c r="P133" s="32">
        <f t="shared" si="17"/>
        <v>517.9873</v>
      </c>
      <c r="Q133" s="32">
        <f t="shared" si="18"/>
        <v>3</v>
      </c>
      <c r="R133" s="32">
        <f t="shared" ca="1" si="19"/>
        <v>0</v>
      </c>
      <c r="S133" s="33" t="s">
        <v>39</v>
      </c>
      <c r="T133" s="34">
        <f t="shared" si="20"/>
        <v>0</v>
      </c>
      <c r="U133" s="34">
        <f t="shared" ca="1" si="21"/>
        <v>0</v>
      </c>
      <c r="V133" s="34">
        <f>-SUMPRODUCT((S$6:S132=S133)*(X$6:X132=X133))</f>
        <v>0</v>
      </c>
      <c r="W133" s="34">
        <f>-SUMPRODUCT((S$6:S132=S133)*(X$6:X132=X133)*(B$6:B132&lt;&gt;"NS"))</f>
        <v>0</v>
      </c>
      <c r="X133" s="35">
        <f t="shared" si="22"/>
        <v>518.21902</v>
      </c>
      <c r="Y133" s="29">
        <v>201</v>
      </c>
      <c r="Z133" s="29">
        <v>165</v>
      </c>
      <c r="AA133" s="29">
        <v>152</v>
      </c>
      <c r="AB133" s="29"/>
      <c r="AC133" s="29"/>
      <c r="AD133" s="29"/>
      <c r="AF133" s="36">
        <v>0</v>
      </c>
      <c r="AG133" s="36">
        <v>0</v>
      </c>
      <c r="AH133" s="36">
        <v>0</v>
      </c>
      <c r="AI133" s="36">
        <v>0</v>
      </c>
      <c r="AJ133" s="37">
        <v>3</v>
      </c>
      <c r="AK133" s="38">
        <v>518.20712000000003</v>
      </c>
      <c r="AL133" s="39">
        <v>201</v>
      </c>
      <c r="AM133" s="32">
        <v>567</v>
      </c>
      <c r="AN133" s="39"/>
      <c r="AO133" s="39"/>
      <c r="AP133" s="39"/>
      <c r="AQ133" s="50"/>
      <c r="AS133" s="1"/>
    </row>
    <row r="134" spans="1:45" s="26" customFormat="1" ht="15">
      <c r="A134" s="1">
        <v>27</v>
      </c>
      <c r="B134" s="1">
        <v>27</v>
      </c>
      <c r="C134" s="1"/>
      <c r="D134" s="1"/>
      <c r="E134" s="61" t="s">
        <v>244</v>
      </c>
      <c r="F134" s="29" t="s">
        <v>57</v>
      </c>
      <c r="G134" s="29">
        <v>97</v>
      </c>
      <c r="H134" s="29">
        <v>128</v>
      </c>
      <c r="I134" s="52">
        <v>145</v>
      </c>
      <c r="J134" s="52">
        <v>163</v>
      </c>
      <c r="K134" s="52">
        <v>196</v>
      </c>
      <c r="L134" s="52"/>
      <c r="M134" s="32">
        <f t="shared" si="16"/>
        <v>504</v>
      </c>
      <c r="N134" s="32" t="s">
        <v>1330</v>
      </c>
      <c r="O134" s="32"/>
      <c r="P134" s="32">
        <f t="shared" si="17"/>
        <v>503.98719999999997</v>
      </c>
      <c r="Q134" s="32">
        <f t="shared" si="18"/>
        <v>5</v>
      </c>
      <c r="R134" s="32">
        <f t="shared" ca="1" si="19"/>
        <v>0</v>
      </c>
      <c r="S134" s="33" t="s">
        <v>39</v>
      </c>
      <c r="T134" s="34">
        <f t="shared" si="20"/>
        <v>0</v>
      </c>
      <c r="U134" s="34">
        <f t="shared" ca="1" si="21"/>
        <v>196</v>
      </c>
      <c r="V134" s="34">
        <f>-SUMPRODUCT((S$6:S133=S134)*(X$6:X133=X134))</f>
        <v>0</v>
      </c>
      <c r="W134" s="34">
        <f>-SUMPRODUCT((S$6:S133=S134)*(X$6:X133=X134)*(B$6:B133&lt;&gt;"NS"))</f>
        <v>0</v>
      </c>
      <c r="X134" s="35">
        <f t="shared" si="22"/>
        <v>504.21375</v>
      </c>
      <c r="Y134" s="52">
        <v>196</v>
      </c>
      <c r="Z134" s="52">
        <v>163</v>
      </c>
      <c r="AA134" s="52">
        <v>145</v>
      </c>
      <c r="AB134" s="29">
        <v>128</v>
      </c>
      <c r="AC134" s="29">
        <v>97</v>
      </c>
      <c r="AD134" s="52"/>
      <c r="AF134" s="36">
        <v>0</v>
      </c>
      <c r="AG134" s="36">
        <v>0</v>
      </c>
      <c r="AH134" s="36">
        <v>0</v>
      </c>
      <c r="AI134" s="36">
        <v>0</v>
      </c>
      <c r="AJ134" s="37">
        <v>4</v>
      </c>
      <c r="AK134" s="38">
        <v>436.166177</v>
      </c>
      <c r="AL134" s="39">
        <v>163</v>
      </c>
      <c r="AM134" s="32">
        <v>471</v>
      </c>
      <c r="AN134" s="39"/>
      <c r="AO134" s="39"/>
      <c r="AP134" s="39"/>
      <c r="AQ134" s="50"/>
      <c r="AS134" s="1"/>
    </row>
    <row r="135" spans="1:45" s="26" customFormat="1" ht="15">
      <c r="A135" s="1">
        <v>28</v>
      </c>
      <c r="B135" s="1">
        <v>28</v>
      </c>
      <c r="C135" s="1"/>
      <c r="D135" s="1"/>
      <c r="E135" s="61" t="s">
        <v>488</v>
      </c>
      <c r="F135" s="29" t="s">
        <v>162</v>
      </c>
      <c r="G135" s="29">
        <v>269</v>
      </c>
      <c r="H135" s="29">
        <v>233</v>
      </c>
      <c r="I135" s="29"/>
      <c r="J135" s="29"/>
      <c r="K135" s="29"/>
      <c r="L135" s="29"/>
      <c r="M135" s="32">
        <f t="shared" si="16"/>
        <v>502</v>
      </c>
      <c r="N135" s="32" t="s">
        <v>1330</v>
      </c>
      <c r="O135" s="32"/>
      <c r="P135" s="32">
        <f t="shared" si="17"/>
        <v>501.9871</v>
      </c>
      <c r="Q135" s="32">
        <f t="shared" si="18"/>
        <v>2</v>
      </c>
      <c r="R135" s="32">
        <f t="shared" ca="1" si="19"/>
        <v>0</v>
      </c>
      <c r="S135" s="33" t="s">
        <v>39</v>
      </c>
      <c r="T135" s="34">
        <f t="shared" si="20"/>
        <v>0</v>
      </c>
      <c r="U135" s="34">
        <f t="shared" ca="1" si="21"/>
        <v>0</v>
      </c>
      <c r="V135" s="34">
        <f>-SUMPRODUCT((S$6:S134=S135)*(X$6:X134=X135))</f>
        <v>0</v>
      </c>
      <c r="W135" s="34">
        <f>-SUMPRODUCT((S$6:S134=S135)*(X$6:X134=X135)*(B$6:B134&lt;&gt;"NS"))</f>
        <v>0</v>
      </c>
      <c r="X135" s="35">
        <f t="shared" si="22"/>
        <v>502.29230000000001</v>
      </c>
      <c r="Y135" s="29">
        <v>269</v>
      </c>
      <c r="Z135" s="29">
        <v>233</v>
      </c>
      <c r="AA135" s="29"/>
      <c r="AB135" s="29"/>
      <c r="AC135" s="29"/>
      <c r="AD135" s="29"/>
      <c r="AF135" s="36">
        <v>0</v>
      </c>
      <c r="AG135" s="36">
        <v>0</v>
      </c>
      <c r="AH135" s="36">
        <v>0</v>
      </c>
      <c r="AI135" s="36">
        <v>0</v>
      </c>
      <c r="AJ135" s="37">
        <v>2</v>
      </c>
      <c r="AK135" s="38">
        <v>502.28020000000004</v>
      </c>
      <c r="AL135" s="39">
        <v>269</v>
      </c>
      <c r="AM135" s="32">
        <v>771</v>
      </c>
      <c r="AN135" s="39"/>
      <c r="AO135" s="39"/>
      <c r="AP135" s="39"/>
      <c r="AQ135" s="50"/>
      <c r="AS135" s="1"/>
    </row>
    <row r="136" spans="1:45" s="26" customFormat="1" ht="15">
      <c r="A136" s="1">
        <v>29</v>
      </c>
      <c r="B136" s="1">
        <v>29</v>
      </c>
      <c r="C136" s="1"/>
      <c r="D136" s="1"/>
      <c r="E136" s="61" t="s">
        <v>489</v>
      </c>
      <c r="F136" s="29" t="s">
        <v>57</v>
      </c>
      <c r="G136" s="29">
        <v>233</v>
      </c>
      <c r="H136" s="29">
        <v>244</v>
      </c>
      <c r="I136" s="29"/>
      <c r="J136" s="29"/>
      <c r="K136" s="29"/>
      <c r="L136" s="29"/>
      <c r="M136" s="32">
        <f t="shared" si="16"/>
        <v>477</v>
      </c>
      <c r="N136" s="32" t="s">
        <v>1330</v>
      </c>
      <c r="O136" s="32"/>
      <c r="P136" s="32">
        <f t="shared" si="17"/>
        <v>476.98700000000002</v>
      </c>
      <c r="Q136" s="32">
        <f t="shared" si="18"/>
        <v>2</v>
      </c>
      <c r="R136" s="32">
        <f t="shared" ca="1" si="19"/>
        <v>0</v>
      </c>
      <c r="S136" s="33" t="s">
        <v>39</v>
      </c>
      <c r="T136" s="34">
        <f t="shared" si="20"/>
        <v>0</v>
      </c>
      <c r="U136" s="34">
        <f t="shared" ca="1" si="21"/>
        <v>0</v>
      </c>
      <c r="V136" s="34">
        <f>-SUMPRODUCT((S$6:S135=S136)*(X$6:X135=X136))</f>
        <v>0</v>
      </c>
      <c r="W136" s="34">
        <f>-SUMPRODUCT((S$6:S135=S136)*(X$6:X135=X136)*(B$6:B135&lt;&gt;"NS"))</f>
        <v>0</v>
      </c>
      <c r="X136" s="35">
        <f t="shared" si="22"/>
        <v>477.26729999999998</v>
      </c>
      <c r="Y136" s="29">
        <v>244</v>
      </c>
      <c r="Z136" s="29">
        <v>233</v>
      </c>
      <c r="AA136" s="29"/>
      <c r="AB136" s="29"/>
      <c r="AC136" s="29"/>
      <c r="AD136" s="29"/>
      <c r="AF136" s="36">
        <v>0</v>
      </c>
      <c r="AG136" s="36">
        <v>0</v>
      </c>
      <c r="AH136" s="36">
        <v>0</v>
      </c>
      <c r="AI136" s="36">
        <v>0</v>
      </c>
      <c r="AJ136" s="37">
        <v>2</v>
      </c>
      <c r="AK136" s="38">
        <v>477.25500000000005</v>
      </c>
      <c r="AL136" s="39">
        <v>244</v>
      </c>
      <c r="AM136" s="32">
        <v>721</v>
      </c>
      <c r="AN136" s="39"/>
      <c r="AO136" s="39"/>
      <c r="AP136" s="39"/>
      <c r="AQ136" s="50"/>
      <c r="AS136" s="1"/>
    </row>
    <row r="137" spans="1:45" s="26" customFormat="1" ht="15">
      <c r="A137" s="1">
        <v>30</v>
      </c>
      <c r="B137" s="1">
        <v>30</v>
      </c>
      <c r="C137" s="1"/>
      <c r="D137" s="1"/>
      <c r="E137" s="61" t="s">
        <v>490</v>
      </c>
      <c r="F137" s="29" t="s">
        <v>29</v>
      </c>
      <c r="G137" s="29">
        <v>242</v>
      </c>
      <c r="H137" s="29"/>
      <c r="I137" s="29">
        <v>215</v>
      </c>
      <c r="J137" s="29"/>
      <c r="K137" s="29"/>
      <c r="L137" s="29"/>
      <c r="M137" s="32">
        <f t="shared" si="16"/>
        <v>457</v>
      </c>
      <c r="N137" s="32" t="s">
        <v>1330</v>
      </c>
      <c r="O137" s="32"/>
      <c r="P137" s="32">
        <f t="shared" si="17"/>
        <v>456.98689999999999</v>
      </c>
      <c r="Q137" s="32">
        <f t="shared" si="18"/>
        <v>2</v>
      </c>
      <c r="R137" s="32">
        <f t="shared" ca="1" si="19"/>
        <v>0</v>
      </c>
      <c r="S137" s="33" t="s">
        <v>39</v>
      </c>
      <c r="T137" s="34">
        <f t="shared" si="20"/>
        <v>0</v>
      </c>
      <c r="U137" s="34">
        <f t="shared" ca="1" si="21"/>
        <v>0</v>
      </c>
      <c r="V137" s="34">
        <f>-SUMPRODUCT((S$6:S136=S137)*(X$6:X136=X137))</f>
        <v>0</v>
      </c>
      <c r="W137" s="34">
        <f>-SUMPRODUCT((S$6:S136=S137)*(X$6:X136=X137)*(B$6:B136&lt;&gt;"NS"))</f>
        <v>0</v>
      </c>
      <c r="X137" s="35">
        <f t="shared" si="22"/>
        <v>457.26350000000002</v>
      </c>
      <c r="Y137" s="29">
        <v>242</v>
      </c>
      <c r="Z137" s="29">
        <v>215</v>
      </c>
      <c r="AA137" s="29"/>
      <c r="AB137" s="29"/>
      <c r="AC137" s="29"/>
      <c r="AD137" s="29"/>
      <c r="AF137" s="36">
        <v>0</v>
      </c>
      <c r="AG137" s="36">
        <v>0</v>
      </c>
      <c r="AH137" s="36">
        <v>0</v>
      </c>
      <c r="AI137" s="36">
        <v>0</v>
      </c>
      <c r="AJ137" s="37">
        <v>2</v>
      </c>
      <c r="AK137" s="38">
        <v>457.25110000000001</v>
      </c>
      <c r="AL137" s="39">
        <v>242</v>
      </c>
      <c r="AM137" s="32">
        <v>699</v>
      </c>
      <c r="AN137" s="39"/>
      <c r="AO137" s="39"/>
      <c r="AP137" s="39"/>
      <c r="AQ137" s="50"/>
      <c r="AS137" s="1"/>
    </row>
    <row r="138" spans="1:45" s="26" customFormat="1" ht="15">
      <c r="A138" s="1">
        <v>31</v>
      </c>
      <c r="B138" s="1">
        <v>31</v>
      </c>
      <c r="C138" s="1"/>
      <c r="D138" s="1"/>
      <c r="E138" s="61" t="s">
        <v>491</v>
      </c>
      <c r="F138" s="29" t="s">
        <v>61</v>
      </c>
      <c r="G138" s="29"/>
      <c r="H138" s="29">
        <v>212</v>
      </c>
      <c r="I138" s="29">
        <v>237</v>
      </c>
      <c r="J138" s="29"/>
      <c r="K138" s="29"/>
      <c r="L138" s="29"/>
      <c r="M138" s="32">
        <f t="shared" si="16"/>
        <v>449</v>
      </c>
      <c r="N138" s="32" t="s">
        <v>1330</v>
      </c>
      <c r="O138" s="32"/>
      <c r="P138" s="32">
        <f t="shared" si="17"/>
        <v>448.98680000000002</v>
      </c>
      <c r="Q138" s="32">
        <f t="shared" si="18"/>
        <v>2</v>
      </c>
      <c r="R138" s="32">
        <f t="shared" ca="1" si="19"/>
        <v>0</v>
      </c>
      <c r="S138" s="33" t="s">
        <v>39</v>
      </c>
      <c r="T138" s="34">
        <f t="shared" si="20"/>
        <v>0</v>
      </c>
      <c r="U138" s="34">
        <f t="shared" ca="1" si="21"/>
        <v>0</v>
      </c>
      <c r="V138" s="34">
        <f>-SUMPRODUCT((S$6:S137=S138)*(X$6:X137=X138))</f>
        <v>0</v>
      </c>
      <c r="W138" s="34">
        <f>-SUMPRODUCT((S$6:S137=S138)*(X$6:X137=X138)*(B$6:B137&lt;&gt;"NS"))</f>
        <v>0</v>
      </c>
      <c r="X138" s="35">
        <f t="shared" si="22"/>
        <v>449.25819999999999</v>
      </c>
      <c r="Y138" s="29">
        <v>237</v>
      </c>
      <c r="Z138" s="29">
        <v>212</v>
      </c>
      <c r="AA138" s="29"/>
      <c r="AB138" s="29"/>
      <c r="AC138" s="29"/>
      <c r="AD138" s="29"/>
      <c r="AF138" s="36">
        <v>0</v>
      </c>
      <c r="AG138" s="36">
        <v>0</v>
      </c>
      <c r="AH138" s="36">
        <v>0</v>
      </c>
      <c r="AI138" s="36">
        <v>0</v>
      </c>
      <c r="AJ138" s="37">
        <v>2</v>
      </c>
      <c r="AK138" s="38">
        <v>449.24570000000006</v>
      </c>
      <c r="AL138" s="39">
        <v>237</v>
      </c>
      <c r="AM138" s="32">
        <v>686</v>
      </c>
      <c r="AN138" s="39"/>
      <c r="AO138" s="39"/>
      <c r="AP138" s="39"/>
      <c r="AQ138" s="50"/>
      <c r="AS138" s="1"/>
    </row>
    <row r="139" spans="1:45" s="26" customFormat="1" ht="15">
      <c r="A139" s="1">
        <v>32</v>
      </c>
      <c r="B139" s="1">
        <v>32</v>
      </c>
      <c r="C139" s="1"/>
      <c r="D139" s="1"/>
      <c r="E139" s="61" t="s">
        <v>492</v>
      </c>
      <c r="F139" s="29" t="s">
        <v>162</v>
      </c>
      <c r="G139" s="29">
        <v>209</v>
      </c>
      <c r="H139" s="29"/>
      <c r="I139" s="29"/>
      <c r="J139" s="29">
        <v>239</v>
      </c>
      <c r="K139" s="29"/>
      <c r="L139" s="29"/>
      <c r="M139" s="32">
        <f t="shared" si="16"/>
        <v>448</v>
      </c>
      <c r="N139" s="32" t="s">
        <v>1330</v>
      </c>
      <c r="O139" s="32"/>
      <c r="P139" s="32">
        <f t="shared" si="17"/>
        <v>447.98669999999998</v>
      </c>
      <c r="Q139" s="32">
        <f t="shared" si="18"/>
        <v>2</v>
      </c>
      <c r="R139" s="32">
        <f t="shared" ca="1" si="19"/>
        <v>0</v>
      </c>
      <c r="S139" s="33" t="s">
        <v>39</v>
      </c>
      <c r="T139" s="34">
        <f t="shared" si="20"/>
        <v>0</v>
      </c>
      <c r="U139" s="34">
        <f t="shared" ca="1" si="21"/>
        <v>0</v>
      </c>
      <c r="V139" s="34">
        <f>-SUMPRODUCT((S$6:S138=S139)*(X$6:X138=X139))</f>
        <v>0</v>
      </c>
      <c r="W139" s="34">
        <f>-SUMPRODUCT((S$6:S138=S139)*(X$6:X138=X139)*(B$6:B138&lt;&gt;"NS"))</f>
        <v>0</v>
      </c>
      <c r="X139" s="35">
        <f t="shared" si="22"/>
        <v>448.25990000000002</v>
      </c>
      <c r="Y139" s="29">
        <v>239</v>
      </c>
      <c r="Z139" s="29">
        <v>209</v>
      </c>
      <c r="AA139" s="29"/>
      <c r="AB139" s="29"/>
      <c r="AC139" s="29"/>
      <c r="AD139" s="29"/>
      <c r="AF139" s="36">
        <v>0</v>
      </c>
      <c r="AG139" s="36">
        <v>0</v>
      </c>
      <c r="AH139" s="36">
        <v>0</v>
      </c>
      <c r="AI139" s="36">
        <v>0</v>
      </c>
      <c r="AJ139" s="37">
        <v>2</v>
      </c>
      <c r="AK139" s="38">
        <v>448.24729999999994</v>
      </c>
      <c r="AL139" s="39">
        <v>239</v>
      </c>
      <c r="AM139" s="32">
        <v>687</v>
      </c>
      <c r="AN139" s="39"/>
      <c r="AO139" s="39"/>
      <c r="AP139" s="39"/>
      <c r="AQ139" s="50"/>
      <c r="AS139" s="1"/>
    </row>
    <row r="140" spans="1:45" s="26" customFormat="1" ht="15">
      <c r="A140" s="1">
        <v>33</v>
      </c>
      <c r="B140" s="1">
        <v>33</v>
      </c>
      <c r="C140" s="1"/>
      <c r="D140" s="1"/>
      <c r="E140" s="61" t="s">
        <v>263</v>
      </c>
      <c r="F140" s="29" t="s">
        <v>252</v>
      </c>
      <c r="G140" s="29">
        <v>78</v>
      </c>
      <c r="H140" s="29"/>
      <c r="I140" s="29">
        <v>112</v>
      </c>
      <c r="J140" s="29">
        <v>141</v>
      </c>
      <c r="K140" s="29">
        <v>189</v>
      </c>
      <c r="L140" s="29"/>
      <c r="M140" s="32">
        <f t="shared" si="16"/>
        <v>442</v>
      </c>
      <c r="N140" s="32" t="s">
        <v>1330</v>
      </c>
      <c r="O140" s="32"/>
      <c r="P140" s="32">
        <f t="shared" si="17"/>
        <v>441.98660000000001</v>
      </c>
      <c r="Q140" s="32">
        <f t="shared" si="18"/>
        <v>4</v>
      </c>
      <c r="R140" s="32">
        <f t="shared" ca="1" si="19"/>
        <v>0</v>
      </c>
      <c r="S140" s="33" t="s">
        <v>39</v>
      </c>
      <c r="T140" s="34">
        <f t="shared" si="20"/>
        <v>0</v>
      </c>
      <c r="U140" s="34">
        <f t="shared" ca="1" si="21"/>
        <v>189</v>
      </c>
      <c r="V140" s="34">
        <f>-SUMPRODUCT((S$6:S139=S140)*(X$6:X139=X140))</f>
        <v>0</v>
      </c>
      <c r="W140" s="34">
        <f>-SUMPRODUCT((S$6:S139=S140)*(X$6:X139=X140)*(B$6:B139&lt;&gt;"NS"))</f>
        <v>0</v>
      </c>
      <c r="X140" s="35">
        <f t="shared" si="22"/>
        <v>442.20422000000002</v>
      </c>
      <c r="Y140" s="29">
        <v>189</v>
      </c>
      <c r="Z140" s="29">
        <v>141</v>
      </c>
      <c r="AA140" s="29">
        <v>112</v>
      </c>
      <c r="AB140" s="29">
        <v>78</v>
      </c>
      <c r="AC140" s="29"/>
      <c r="AD140" s="29"/>
      <c r="AF140" s="36">
        <v>0</v>
      </c>
      <c r="AG140" s="36">
        <v>0</v>
      </c>
      <c r="AH140" s="36">
        <v>0</v>
      </c>
      <c r="AI140" s="36">
        <v>0</v>
      </c>
      <c r="AJ140" s="37">
        <v>3</v>
      </c>
      <c r="AK140" s="38">
        <v>331.14008000000001</v>
      </c>
      <c r="AL140" s="39">
        <v>141</v>
      </c>
      <c r="AM140" s="32">
        <v>394</v>
      </c>
      <c r="AN140" s="39"/>
      <c r="AO140" s="39"/>
      <c r="AP140" s="39"/>
      <c r="AQ140" s="50"/>
      <c r="AS140" s="1"/>
    </row>
    <row r="141" spans="1:45" s="26" customFormat="1" ht="15">
      <c r="A141" s="1">
        <v>34</v>
      </c>
      <c r="B141" s="1">
        <v>34</v>
      </c>
      <c r="C141" s="1"/>
      <c r="D141" s="1"/>
      <c r="E141" s="61" t="s">
        <v>168</v>
      </c>
      <c r="F141" s="29" t="s">
        <v>66</v>
      </c>
      <c r="G141" s="29"/>
      <c r="H141" s="29">
        <v>159</v>
      </c>
      <c r="I141" s="29"/>
      <c r="J141" s="29"/>
      <c r="K141" s="29">
        <v>235</v>
      </c>
      <c r="L141" s="29"/>
      <c r="M141" s="32">
        <f t="shared" si="16"/>
        <v>394</v>
      </c>
      <c r="N141" s="32" t="s">
        <v>1330</v>
      </c>
      <c r="O141" s="32"/>
      <c r="P141" s="32">
        <f t="shared" si="17"/>
        <v>393.98649999999998</v>
      </c>
      <c r="Q141" s="32">
        <f t="shared" si="18"/>
        <v>2</v>
      </c>
      <c r="R141" s="32">
        <f t="shared" ca="1" si="19"/>
        <v>0</v>
      </c>
      <c r="S141" s="33" t="s">
        <v>39</v>
      </c>
      <c r="T141" s="34">
        <f t="shared" si="20"/>
        <v>0</v>
      </c>
      <c r="U141" s="34">
        <f t="shared" ca="1" si="21"/>
        <v>235</v>
      </c>
      <c r="V141" s="34">
        <f>-SUMPRODUCT((S$6:S140=S141)*(X$6:X140=X141))</f>
        <v>0</v>
      </c>
      <c r="W141" s="34">
        <f>-SUMPRODUCT((S$6:S140=S141)*(X$6:X140=X141)*(B$6:B140&lt;&gt;"NS"))</f>
        <v>0</v>
      </c>
      <c r="X141" s="35">
        <f t="shared" si="22"/>
        <v>394.2509</v>
      </c>
      <c r="Y141" s="29">
        <v>235</v>
      </c>
      <c r="Z141" s="29">
        <v>159</v>
      </c>
      <c r="AA141" s="29"/>
      <c r="AB141" s="29"/>
      <c r="AC141" s="29"/>
      <c r="AD141" s="29"/>
      <c r="AF141" s="36">
        <v>0</v>
      </c>
      <c r="AG141" s="36">
        <v>0</v>
      </c>
      <c r="AH141" s="36">
        <v>0</v>
      </c>
      <c r="AI141" s="36">
        <v>0</v>
      </c>
      <c r="AJ141" s="37">
        <v>1</v>
      </c>
      <c r="AK141" s="38">
        <v>159.14409999999998</v>
      </c>
      <c r="AL141" s="39">
        <v>159</v>
      </c>
      <c r="AM141" s="32">
        <v>318</v>
      </c>
      <c r="AN141" s="39"/>
      <c r="AO141" s="39"/>
      <c r="AP141" s="39"/>
      <c r="AQ141" s="50"/>
      <c r="AS141" s="1"/>
    </row>
    <row r="142" spans="1:45" s="26" customFormat="1" ht="15">
      <c r="A142" s="1">
        <v>35</v>
      </c>
      <c r="B142" s="1">
        <v>35</v>
      </c>
      <c r="C142" s="1"/>
      <c r="D142" s="1"/>
      <c r="E142" s="61" t="s">
        <v>292</v>
      </c>
      <c r="F142" s="29" t="s">
        <v>252</v>
      </c>
      <c r="G142" s="29">
        <v>63</v>
      </c>
      <c r="H142" s="29">
        <v>63</v>
      </c>
      <c r="I142" s="29">
        <v>94</v>
      </c>
      <c r="J142" s="29"/>
      <c r="K142" s="29">
        <v>173</v>
      </c>
      <c r="L142" s="29"/>
      <c r="M142" s="32">
        <f t="shared" si="16"/>
        <v>330</v>
      </c>
      <c r="N142" s="32" t="s">
        <v>1330</v>
      </c>
      <c r="O142" s="32"/>
      <c r="P142" s="32">
        <f t="shared" si="17"/>
        <v>329.9864</v>
      </c>
      <c r="Q142" s="32">
        <f t="shared" si="18"/>
        <v>4</v>
      </c>
      <c r="R142" s="32">
        <f t="shared" ca="1" si="19"/>
        <v>0</v>
      </c>
      <c r="S142" s="33" t="s">
        <v>39</v>
      </c>
      <c r="T142" s="34">
        <f t="shared" si="20"/>
        <v>0</v>
      </c>
      <c r="U142" s="34">
        <f t="shared" ca="1" si="21"/>
        <v>173</v>
      </c>
      <c r="V142" s="34">
        <f>-SUMPRODUCT((S$6:S141=S142)*(X$6:X141=X142))</f>
        <v>0</v>
      </c>
      <c r="W142" s="34">
        <f>-SUMPRODUCT((S$6:S141=S142)*(X$6:X141=X142)*(B$6:B141&lt;&gt;"NS"))</f>
        <v>0</v>
      </c>
      <c r="X142" s="35">
        <f t="shared" si="22"/>
        <v>330.18302999999997</v>
      </c>
      <c r="Y142" s="29">
        <v>173</v>
      </c>
      <c r="Z142" s="29">
        <v>94</v>
      </c>
      <c r="AA142" s="29">
        <v>63</v>
      </c>
      <c r="AB142" s="29">
        <v>63</v>
      </c>
      <c r="AC142" s="29"/>
      <c r="AD142" s="29"/>
      <c r="AF142" s="36">
        <v>0</v>
      </c>
      <c r="AG142" s="36">
        <v>0</v>
      </c>
      <c r="AH142" s="36">
        <v>0</v>
      </c>
      <c r="AI142" s="36">
        <v>0</v>
      </c>
      <c r="AJ142" s="37">
        <v>3</v>
      </c>
      <c r="AK142" s="38">
        <v>220.08693</v>
      </c>
      <c r="AL142" s="39">
        <v>94</v>
      </c>
      <c r="AM142" s="32">
        <v>251</v>
      </c>
      <c r="AN142" s="39"/>
      <c r="AO142" s="39"/>
      <c r="AP142" s="39"/>
      <c r="AQ142" s="50"/>
      <c r="AS142" s="1"/>
    </row>
    <row r="143" spans="1:45" s="26" customFormat="1" ht="15">
      <c r="A143" s="1">
        <v>36</v>
      </c>
      <c r="B143" s="1">
        <v>36</v>
      </c>
      <c r="C143" s="1"/>
      <c r="D143" s="1"/>
      <c r="E143" s="61" t="s">
        <v>493</v>
      </c>
      <c r="F143" s="29" t="s">
        <v>47</v>
      </c>
      <c r="G143" s="29">
        <v>76</v>
      </c>
      <c r="H143" s="29"/>
      <c r="I143" s="29">
        <v>113</v>
      </c>
      <c r="J143" s="29">
        <v>135</v>
      </c>
      <c r="K143" s="29"/>
      <c r="L143" s="29"/>
      <c r="M143" s="32">
        <f t="shared" si="16"/>
        <v>324</v>
      </c>
      <c r="N143" s="32" t="s">
        <v>1330</v>
      </c>
      <c r="O143" s="32"/>
      <c r="P143" s="32">
        <f t="shared" si="17"/>
        <v>323.98630000000003</v>
      </c>
      <c r="Q143" s="32">
        <f t="shared" si="18"/>
        <v>3</v>
      </c>
      <c r="R143" s="32">
        <f t="shared" ca="1" si="19"/>
        <v>0</v>
      </c>
      <c r="S143" s="33" t="s">
        <v>39</v>
      </c>
      <c r="T143" s="34">
        <f t="shared" si="20"/>
        <v>0</v>
      </c>
      <c r="U143" s="34">
        <f t="shared" ca="1" si="21"/>
        <v>0</v>
      </c>
      <c r="V143" s="34">
        <f>-SUMPRODUCT((S$6:S142=S143)*(X$6:X142=X143))</f>
        <v>0</v>
      </c>
      <c r="W143" s="34">
        <f>-SUMPRODUCT((S$6:S142=S143)*(X$6:X142=X143)*(B$6:B142&lt;&gt;"NS"))</f>
        <v>0</v>
      </c>
      <c r="X143" s="35">
        <f t="shared" si="22"/>
        <v>324.14706000000001</v>
      </c>
      <c r="Y143" s="29">
        <v>135</v>
      </c>
      <c r="Z143" s="29">
        <v>113</v>
      </c>
      <c r="AA143" s="29">
        <v>76</v>
      </c>
      <c r="AB143" s="29"/>
      <c r="AC143" s="29"/>
      <c r="AD143" s="29"/>
      <c r="AF143" s="36">
        <v>0</v>
      </c>
      <c r="AG143" s="36">
        <v>0</v>
      </c>
      <c r="AH143" s="36">
        <v>0</v>
      </c>
      <c r="AI143" s="36">
        <v>0</v>
      </c>
      <c r="AJ143" s="37">
        <v>3</v>
      </c>
      <c r="AK143" s="38">
        <v>324.13406000000003</v>
      </c>
      <c r="AL143" s="39">
        <v>135</v>
      </c>
      <c r="AM143" s="32">
        <v>383</v>
      </c>
      <c r="AN143" s="39"/>
      <c r="AO143" s="39"/>
      <c r="AP143" s="39"/>
      <c r="AQ143" s="50"/>
      <c r="AS143" s="1"/>
    </row>
    <row r="144" spans="1:45" s="26" customFormat="1" ht="15">
      <c r="A144" s="1">
        <v>37</v>
      </c>
      <c r="B144" s="1">
        <v>37</v>
      </c>
      <c r="C144" s="1"/>
      <c r="D144" s="1"/>
      <c r="E144" s="61" t="s">
        <v>494</v>
      </c>
      <c r="F144" s="29" t="s">
        <v>38</v>
      </c>
      <c r="G144" s="29"/>
      <c r="H144" s="29"/>
      <c r="I144" s="29">
        <v>142</v>
      </c>
      <c r="J144" s="29">
        <v>159</v>
      </c>
      <c r="K144" s="29"/>
      <c r="L144" s="29"/>
      <c r="M144" s="32">
        <f t="shared" si="16"/>
        <v>301</v>
      </c>
      <c r="N144" s="32" t="s">
        <v>1330</v>
      </c>
      <c r="O144" s="32"/>
      <c r="P144" s="32">
        <f t="shared" si="17"/>
        <v>300.9862</v>
      </c>
      <c r="Q144" s="32">
        <f t="shared" si="18"/>
        <v>2</v>
      </c>
      <c r="R144" s="32">
        <f t="shared" ca="1" si="19"/>
        <v>0</v>
      </c>
      <c r="S144" s="33" t="s">
        <v>39</v>
      </c>
      <c r="T144" s="34">
        <f t="shared" si="20"/>
        <v>0</v>
      </c>
      <c r="U144" s="34">
        <f t="shared" ca="1" si="21"/>
        <v>0</v>
      </c>
      <c r="V144" s="34">
        <f>-SUMPRODUCT((S$6:S143=S144)*(X$6:X143=X144))</f>
        <v>0</v>
      </c>
      <c r="W144" s="34">
        <f>-SUMPRODUCT((S$6:S143=S144)*(X$6:X143=X144)*(B$6:B143&lt;&gt;"NS"))</f>
        <v>0</v>
      </c>
      <c r="X144" s="35">
        <f t="shared" si="22"/>
        <v>301.17320000000001</v>
      </c>
      <c r="Y144" s="29">
        <v>159</v>
      </c>
      <c r="Z144" s="29">
        <v>142</v>
      </c>
      <c r="AA144" s="29"/>
      <c r="AB144" s="29"/>
      <c r="AC144" s="29"/>
      <c r="AD144" s="29"/>
      <c r="AF144" s="36">
        <v>0</v>
      </c>
      <c r="AG144" s="36">
        <v>0</v>
      </c>
      <c r="AH144" s="36">
        <v>0</v>
      </c>
      <c r="AI144" s="36">
        <v>0</v>
      </c>
      <c r="AJ144" s="37">
        <v>2</v>
      </c>
      <c r="AK144" s="38">
        <v>301.1601</v>
      </c>
      <c r="AL144" s="39">
        <v>159</v>
      </c>
      <c r="AM144" s="32">
        <v>460</v>
      </c>
      <c r="AN144" s="39"/>
      <c r="AO144" s="39"/>
      <c r="AP144" s="39"/>
      <c r="AQ144" s="50"/>
      <c r="AS144" s="1"/>
    </row>
    <row r="145" spans="1:45" s="26" customFormat="1" ht="15">
      <c r="A145" s="1">
        <v>38</v>
      </c>
      <c r="B145" s="1">
        <v>38</v>
      </c>
      <c r="C145" s="1"/>
      <c r="D145" s="1"/>
      <c r="E145" s="61" t="s">
        <v>495</v>
      </c>
      <c r="F145" s="29" t="s">
        <v>485</v>
      </c>
      <c r="G145" s="29"/>
      <c r="H145" s="29">
        <v>277</v>
      </c>
      <c r="I145" s="29"/>
      <c r="J145" s="29"/>
      <c r="K145" s="29"/>
      <c r="L145" s="29"/>
      <c r="M145" s="32">
        <f t="shared" si="16"/>
        <v>277</v>
      </c>
      <c r="N145" s="32" t="s">
        <v>1330</v>
      </c>
      <c r="O145" s="32"/>
      <c r="P145" s="32">
        <f t="shared" si="17"/>
        <v>276.98610000000002</v>
      </c>
      <c r="Q145" s="32">
        <f t="shared" si="18"/>
        <v>1</v>
      </c>
      <c r="R145" s="32">
        <f t="shared" ca="1" si="19"/>
        <v>0</v>
      </c>
      <c r="S145" s="33" t="s">
        <v>39</v>
      </c>
      <c r="T145" s="34">
        <f t="shared" si="20"/>
        <v>0</v>
      </c>
      <c r="U145" s="34">
        <f t="shared" ca="1" si="21"/>
        <v>0</v>
      </c>
      <c r="V145" s="34">
        <f>-SUMPRODUCT((S$6:S144=S145)*(X$6:X144=X145))</f>
        <v>0</v>
      </c>
      <c r="W145" s="34">
        <f>-SUMPRODUCT((S$6:S144=S145)*(X$6:X144=X145)*(B$6:B144&lt;&gt;"NS"))</f>
        <v>0</v>
      </c>
      <c r="X145" s="35">
        <f t="shared" si="22"/>
        <v>277.27699999999999</v>
      </c>
      <c r="Y145" s="29">
        <v>277</v>
      </c>
      <c r="Z145" s="29"/>
      <c r="AA145" s="29"/>
      <c r="AB145" s="29"/>
      <c r="AC145" s="29"/>
      <c r="AD145" s="29"/>
      <c r="AF145" s="36">
        <v>0</v>
      </c>
      <c r="AG145" s="36">
        <v>0</v>
      </c>
      <c r="AH145" s="36">
        <v>0</v>
      </c>
      <c r="AI145" s="36">
        <v>0</v>
      </c>
      <c r="AJ145" s="37">
        <v>1</v>
      </c>
      <c r="AK145" s="38">
        <v>277.2638</v>
      </c>
      <c r="AL145" s="39">
        <v>277</v>
      </c>
      <c r="AM145" s="32">
        <v>554</v>
      </c>
      <c r="AN145" s="39"/>
      <c r="AO145" s="39"/>
      <c r="AP145" s="39"/>
      <c r="AQ145" s="50"/>
      <c r="AS145" s="1"/>
    </row>
    <row r="146" spans="1:45" s="26" customFormat="1" ht="15">
      <c r="A146" s="1">
        <v>39</v>
      </c>
      <c r="B146" s="1">
        <v>39</v>
      </c>
      <c r="C146" s="1"/>
      <c r="D146" s="1"/>
      <c r="E146" s="61" t="s">
        <v>267</v>
      </c>
      <c r="F146" s="29" t="s">
        <v>19</v>
      </c>
      <c r="G146" s="29"/>
      <c r="H146" s="29">
        <v>83</v>
      </c>
      <c r="I146" s="29"/>
      <c r="J146" s="29"/>
      <c r="K146" s="29">
        <v>187</v>
      </c>
      <c r="L146" s="29"/>
      <c r="M146" s="32">
        <f t="shared" si="16"/>
        <v>270</v>
      </c>
      <c r="N146" s="32" t="s">
        <v>1330</v>
      </c>
      <c r="O146" s="32"/>
      <c r="P146" s="32">
        <f t="shared" si="17"/>
        <v>269.98599999999999</v>
      </c>
      <c r="Q146" s="32">
        <f t="shared" si="18"/>
        <v>2</v>
      </c>
      <c r="R146" s="32">
        <f t="shared" ca="1" si="19"/>
        <v>0</v>
      </c>
      <c r="S146" s="33" t="s">
        <v>39</v>
      </c>
      <c r="T146" s="34">
        <f t="shared" si="20"/>
        <v>0</v>
      </c>
      <c r="U146" s="34">
        <f t="shared" ca="1" si="21"/>
        <v>187</v>
      </c>
      <c r="V146" s="34">
        <f>-SUMPRODUCT((S$6:S145=S146)*(X$6:X145=X146))</f>
        <v>0</v>
      </c>
      <c r="W146" s="34">
        <f>-SUMPRODUCT((S$6:S145=S146)*(X$6:X145=X146)*(B$6:B145&lt;&gt;"NS"))</f>
        <v>0</v>
      </c>
      <c r="X146" s="35">
        <f t="shared" si="22"/>
        <v>270.19529999999997</v>
      </c>
      <c r="Y146" s="29">
        <v>187</v>
      </c>
      <c r="Z146" s="29">
        <v>83</v>
      </c>
      <c r="AA146" s="29"/>
      <c r="AB146" s="29"/>
      <c r="AC146" s="29"/>
      <c r="AD146" s="29"/>
      <c r="AF146" s="36">
        <v>0</v>
      </c>
      <c r="AG146" s="36">
        <v>0</v>
      </c>
      <c r="AH146" s="36">
        <v>0</v>
      </c>
      <c r="AI146" s="36">
        <v>0</v>
      </c>
      <c r="AJ146" s="37">
        <v>1</v>
      </c>
      <c r="AK146" s="38">
        <v>83.067800000000005</v>
      </c>
      <c r="AL146" s="39">
        <v>83</v>
      </c>
      <c r="AM146" s="32">
        <v>166</v>
      </c>
      <c r="AN146" s="39"/>
      <c r="AO146" s="39"/>
      <c r="AP146" s="39"/>
      <c r="AQ146" s="50"/>
      <c r="AS146" s="1"/>
    </row>
    <row r="147" spans="1:45" s="26" customFormat="1" ht="15">
      <c r="A147" s="1">
        <v>40</v>
      </c>
      <c r="B147" s="1">
        <v>40</v>
      </c>
      <c r="C147" s="1"/>
      <c r="D147" s="1"/>
      <c r="E147" s="61" t="s">
        <v>496</v>
      </c>
      <c r="F147" s="29" t="s">
        <v>25</v>
      </c>
      <c r="G147" s="29"/>
      <c r="H147" s="29">
        <v>107</v>
      </c>
      <c r="I147" s="29">
        <v>161</v>
      </c>
      <c r="J147" s="29"/>
      <c r="K147" s="29"/>
      <c r="L147" s="29"/>
      <c r="M147" s="32">
        <f t="shared" si="16"/>
        <v>268</v>
      </c>
      <c r="N147" s="32" t="s">
        <v>1330</v>
      </c>
      <c r="O147" s="32"/>
      <c r="P147" s="32">
        <f t="shared" si="17"/>
        <v>267.98590000000002</v>
      </c>
      <c r="Q147" s="32">
        <f t="shared" si="18"/>
        <v>2</v>
      </c>
      <c r="R147" s="32">
        <f t="shared" ca="1" si="19"/>
        <v>0</v>
      </c>
      <c r="S147" s="33" t="s">
        <v>39</v>
      </c>
      <c r="T147" s="34">
        <f t="shared" si="20"/>
        <v>0</v>
      </c>
      <c r="U147" s="34">
        <f t="shared" ca="1" si="21"/>
        <v>0</v>
      </c>
      <c r="V147" s="34">
        <f>-SUMPRODUCT((S$6:S146=S147)*(X$6:X146=X147))</f>
        <v>0</v>
      </c>
      <c r="W147" s="34">
        <f>-SUMPRODUCT((S$6:S146=S147)*(X$6:X146=X147)*(B$6:B146&lt;&gt;"NS"))</f>
        <v>0</v>
      </c>
      <c r="X147" s="35">
        <f t="shared" si="22"/>
        <v>268.17169999999999</v>
      </c>
      <c r="Y147" s="29">
        <v>161</v>
      </c>
      <c r="Z147" s="29">
        <v>107</v>
      </c>
      <c r="AA147" s="29"/>
      <c r="AB147" s="29"/>
      <c r="AC147" s="29"/>
      <c r="AD147" s="29"/>
      <c r="AF147" s="36">
        <v>0</v>
      </c>
      <c r="AG147" s="36">
        <v>0</v>
      </c>
      <c r="AH147" s="36">
        <v>0</v>
      </c>
      <c r="AI147" s="36">
        <v>0</v>
      </c>
      <c r="AJ147" s="37">
        <v>2</v>
      </c>
      <c r="AK147" s="38">
        <v>268.15839999999997</v>
      </c>
      <c r="AL147" s="39">
        <v>161</v>
      </c>
      <c r="AM147" s="32">
        <v>429</v>
      </c>
      <c r="AN147" s="39"/>
      <c r="AO147" s="39"/>
      <c r="AP147" s="39"/>
      <c r="AQ147" s="50"/>
      <c r="AS147" s="1"/>
    </row>
    <row r="148" spans="1:45" s="26" customFormat="1" ht="15">
      <c r="A148" s="1">
        <v>41</v>
      </c>
      <c r="B148" s="1">
        <v>41</v>
      </c>
      <c r="C148" s="1"/>
      <c r="D148" s="1"/>
      <c r="E148" s="61" t="s">
        <v>497</v>
      </c>
      <c r="F148" s="29" t="s">
        <v>412</v>
      </c>
      <c r="G148" s="29"/>
      <c r="H148" s="29">
        <v>266</v>
      </c>
      <c r="I148" s="29"/>
      <c r="J148" s="29"/>
      <c r="K148" s="29"/>
      <c r="L148" s="29"/>
      <c r="M148" s="32">
        <f t="shared" si="16"/>
        <v>266</v>
      </c>
      <c r="N148" s="32" t="s">
        <v>1330</v>
      </c>
      <c r="O148" s="32"/>
      <c r="P148" s="32">
        <f t="shared" si="17"/>
        <v>265.98579999999998</v>
      </c>
      <c r="Q148" s="32">
        <f t="shared" si="18"/>
        <v>1</v>
      </c>
      <c r="R148" s="32">
        <f t="shared" ca="1" si="19"/>
        <v>0</v>
      </c>
      <c r="S148" s="33" t="s">
        <v>39</v>
      </c>
      <c r="T148" s="34">
        <f t="shared" si="20"/>
        <v>0</v>
      </c>
      <c r="U148" s="34">
        <f t="shared" ca="1" si="21"/>
        <v>0</v>
      </c>
      <c r="V148" s="34">
        <f>-SUMPRODUCT((S$6:S147=S148)*(X$6:X147=X148))</f>
        <v>0</v>
      </c>
      <c r="W148" s="34">
        <f>-SUMPRODUCT((S$6:S147=S148)*(X$6:X147=X148)*(B$6:B147&lt;&gt;"NS"))</f>
        <v>0</v>
      </c>
      <c r="X148" s="35">
        <f t="shared" si="22"/>
        <v>266.26600000000002</v>
      </c>
      <c r="Y148" s="29">
        <v>266</v>
      </c>
      <c r="Z148" s="29"/>
      <c r="AA148" s="29"/>
      <c r="AB148" s="29"/>
      <c r="AC148" s="29"/>
      <c r="AD148" s="29"/>
      <c r="AF148" s="36">
        <v>0</v>
      </c>
      <c r="AG148" s="36">
        <v>0</v>
      </c>
      <c r="AH148" s="36">
        <v>0</v>
      </c>
      <c r="AI148" s="36">
        <v>0</v>
      </c>
      <c r="AJ148" s="37">
        <v>1</v>
      </c>
      <c r="AK148" s="38">
        <v>266.25260000000003</v>
      </c>
      <c r="AL148" s="39">
        <v>266</v>
      </c>
      <c r="AM148" s="32">
        <v>532</v>
      </c>
      <c r="AN148" s="39"/>
      <c r="AO148" s="39"/>
      <c r="AP148" s="39"/>
      <c r="AQ148" s="50"/>
      <c r="AS148" s="1"/>
    </row>
    <row r="149" spans="1:45" s="26" customFormat="1" ht="15">
      <c r="A149" s="1">
        <v>42</v>
      </c>
      <c r="B149" s="1">
        <v>42</v>
      </c>
      <c r="C149" s="1"/>
      <c r="D149" s="1"/>
      <c r="E149" s="61" t="s">
        <v>498</v>
      </c>
      <c r="F149" s="29" t="s">
        <v>57</v>
      </c>
      <c r="G149" s="29">
        <v>263</v>
      </c>
      <c r="H149" s="29"/>
      <c r="I149" s="29"/>
      <c r="J149" s="29"/>
      <c r="K149" s="29"/>
      <c r="L149" s="29"/>
      <c r="M149" s="32">
        <f t="shared" si="16"/>
        <v>263</v>
      </c>
      <c r="N149" s="32" t="s">
        <v>1330</v>
      </c>
      <c r="O149" s="32"/>
      <c r="P149" s="32">
        <f t="shared" si="17"/>
        <v>262.98570000000001</v>
      </c>
      <c r="Q149" s="32">
        <f t="shared" si="18"/>
        <v>1</v>
      </c>
      <c r="R149" s="32">
        <f t="shared" ca="1" si="19"/>
        <v>0</v>
      </c>
      <c r="S149" s="33" t="s">
        <v>39</v>
      </c>
      <c r="T149" s="34">
        <f t="shared" si="20"/>
        <v>0</v>
      </c>
      <c r="U149" s="34">
        <f t="shared" ca="1" si="21"/>
        <v>0</v>
      </c>
      <c r="V149" s="34">
        <f>-SUMPRODUCT((S$6:S148=S149)*(X$6:X148=X149))</f>
        <v>0</v>
      </c>
      <c r="W149" s="34">
        <f>-SUMPRODUCT((S$6:S148=S149)*(X$6:X148=X149)*(B$6:B148&lt;&gt;"NS"))</f>
        <v>0</v>
      </c>
      <c r="X149" s="35">
        <f t="shared" si="22"/>
        <v>263.26299999999998</v>
      </c>
      <c r="Y149" s="29">
        <v>263</v>
      </c>
      <c r="Z149" s="29"/>
      <c r="AA149" s="29"/>
      <c r="AB149" s="29"/>
      <c r="AC149" s="29"/>
      <c r="AD149" s="29"/>
      <c r="AF149" s="36">
        <v>0</v>
      </c>
      <c r="AG149" s="36">
        <v>0</v>
      </c>
      <c r="AH149" s="36">
        <v>0</v>
      </c>
      <c r="AI149" s="36">
        <v>0</v>
      </c>
      <c r="AJ149" s="37">
        <v>1</v>
      </c>
      <c r="AK149" s="38">
        <v>263.24949999999995</v>
      </c>
      <c r="AL149" s="39">
        <v>263</v>
      </c>
      <c r="AM149" s="32">
        <v>526</v>
      </c>
      <c r="AN149" s="39"/>
      <c r="AO149" s="39"/>
      <c r="AP149" s="39"/>
      <c r="AQ149" s="50"/>
      <c r="AS149" s="1"/>
    </row>
    <row r="150" spans="1:45" s="26" customFormat="1" ht="15">
      <c r="A150" s="1">
        <v>43</v>
      </c>
      <c r="B150" s="1">
        <v>43</v>
      </c>
      <c r="C150" s="1"/>
      <c r="D150" s="1"/>
      <c r="E150" s="61" t="s">
        <v>499</v>
      </c>
      <c r="F150" s="29" t="s">
        <v>19</v>
      </c>
      <c r="G150" s="29"/>
      <c r="H150" s="29"/>
      <c r="I150" s="29"/>
      <c r="J150" s="29">
        <v>261</v>
      </c>
      <c r="K150" s="29"/>
      <c r="L150" s="29"/>
      <c r="M150" s="32">
        <f t="shared" si="16"/>
        <v>261</v>
      </c>
      <c r="N150" s="32" t="s">
        <v>1330</v>
      </c>
      <c r="O150" s="32"/>
      <c r="P150" s="32">
        <f t="shared" si="17"/>
        <v>260.98559999999998</v>
      </c>
      <c r="Q150" s="32">
        <f t="shared" si="18"/>
        <v>1</v>
      </c>
      <c r="R150" s="32">
        <f t="shared" ca="1" si="19"/>
        <v>0</v>
      </c>
      <c r="S150" s="33" t="s">
        <v>39</v>
      </c>
      <c r="T150" s="34">
        <f t="shared" si="20"/>
        <v>0</v>
      </c>
      <c r="U150" s="34">
        <f t="shared" ca="1" si="21"/>
        <v>0</v>
      </c>
      <c r="V150" s="34">
        <f>-SUMPRODUCT((S$6:S149=S150)*(X$6:X149=X150))</f>
        <v>0</v>
      </c>
      <c r="W150" s="34">
        <f>-SUMPRODUCT((S$6:S149=S150)*(X$6:X149=X150)*(B$6:B149&lt;&gt;"NS"))</f>
        <v>0</v>
      </c>
      <c r="X150" s="35">
        <f t="shared" si="22"/>
        <v>261.26100000000002</v>
      </c>
      <c r="Y150" s="29">
        <v>261</v>
      </c>
      <c r="Z150" s="29"/>
      <c r="AA150" s="29"/>
      <c r="AB150" s="29"/>
      <c r="AC150" s="29"/>
      <c r="AD150" s="29"/>
      <c r="AF150" s="36">
        <v>0</v>
      </c>
      <c r="AG150" s="36">
        <v>0</v>
      </c>
      <c r="AH150" s="36">
        <v>0</v>
      </c>
      <c r="AI150" s="36">
        <v>0</v>
      </c>
      <c r="AJ150" s="37">
        <v>1</v>
      </c>
      <c r="AK150" s="38">
        <v>261.24740000000003</v>
      </c>
      <c r="AL150" s="39">
        <v>261</v>
      </c>
      <c r="AM150" s="32">
        <v>522</v>
      </c>
      <c r="AN150" s="39"/>
      <c r="AO150" s="39"/>
      <c r="AP150" s="39"/>
      <c r="AQ150" s="50"/>
      <c r="AS150" s="1"/>
    </row>
    <row r="151" spans="1:45" s="26" customFormat="1" ht="15">
      <c r="A151" s="1">
        <v>44</v>
      </c>
      <c r="B151" s="1">
        <v>44</v>
      </c>
      <c r="C151" s="1"/>
      <c r="D151" s="1"/>
      <c r="E151" s="61" t="s">
        <v>500</v>
      </c>
      <c r="F151" s="29" t="s">
        <v>118</v>
      </c>
      <c r="G151" s="29">
        <v>259</v>
      </c>
      <c r="H151" s="29"/>
      <c r="I151" s="29"/>
      <c r="J151" s="29"/>
      <c r="K151" s="29"/>
      <c r="L151" s="29"/>
      <c r="M151" s="32">
        <f t="shared" si="16"/>
        <v>259</v>
      </c>
      <c r="N151" s="32" t="s">
        <v>1330</v>
      </c>
      <c r="O151" s="32"/>
      <c r="P151" s="32">
        <f t="shared" si="17"/>
        <v>258.9855</v>
      </c>
      <c r="Q151" s="32">
        <f t="shared" si="18"/>
        <v>1</v>
      </c>
      <c r="R151" s="32">
        <f t="shared" ca="1" si="19"/>
        <v>0</v>
      </c>
      <c r="S151" s="33" t="s">
        <v>39</v>
      </c>
      <c r="T151" s="34">
        <f t="shared" si="20"/>
        <v>0</v>
      </c>
      <c r="U151" s="34">
        <f t="shared" ca="1" si="21"/>
        <v>0</v>
      </c>
      <c r="V151" s="34">
        <f>-SUMPRODUCT((S$6:S150=S151)*(X$6:X150=X151))</f>
        <v>0</v>
      </c>
      <c r="W151" s="34">
        <f>-SUMPRODUCT((S$6:S150=S151)*(X$6:X150=X151)*(B$6:B150&lt;&gt;"NS"))</f>
        <v>0</v>
      </c>
      <c r="X151" s="35">
        <f t="shared" si="22"/>
        <v>259.25900000000001</v>
      </c>
      <c r="Y151" s="29">
        <v>259</v>
      </c>
      <c r="Z151" s="29"/>
      <c r="AA151" s="29"/>
      <c r="AB151" s="29"/>
      <c r="AC151" s="29"/>
      <c r="AD151" s="29"/>
      <c r="AF151" s="36">
        <v>0</v>
      </c>
      <c r="AG151" s="36">
        <v>0</v>
      </c>
      <c r="AH151" s="36">
        <v>0</v>
      </c>
      <c r="AI151" s="36">
        <v>0</v>
      </c>
      <c r="AJ151" s="37">
        <v>1</v>
      </c>
      <c r="AK151" s="38">
        <v>259.24530000000004</v>
      </c>
      <c r="AL151" s="39">
        <v>259</v>
      </c>
      <c r="AM151" s="32">
        <v>518</v>
      </c>
      <c r="AN151" s="39"/>
      <c r="AO151" s="39"/>
      <c r="AP151" s="39"/>
      <c r="AQ151" s="50"/>
      <c r="AS151" s="1"/>
    </row>
    <row r="152" spans="1:45" s="26" customFormat="1" ht="15">
      <c r="A152" s="1">
        <v>45</v>
      </c>
      <c r="B152" s="1">
        <v>45</v>
      </c>
      <c r="C152" s="1"/>
      <c r="D152" s="1"/>
      <c r="E152" s="61" t="s">
        <v>501</v>
      </c>
      <c r="F152" s="29" t="s">
        <v>61</v>
      </c>
      <c r="G152" s="29">
        <v>229</v>
      </c>
      <c r="H152" s="29"/>
      <c r="I152" s="29"/>
      <c r="J152" s="29"/>
      <c r="K152" s="29"/>
      <c r="L152" s="29"/>
      <c r="M152" s="32">
        <f t="shared" si="16"/>
        <v>229</v>
      </c>
      <c r="N152" s="32" t="s">
        <v>1330</v>
      </c>
      <c r="O152" s="32"/>
      <c r="P152" s="32">
        <f t="shared" si="17"/>
        <v>228.9854</v>
      </c>
      <c r="Q152" s="32">
        <f t="shared" si="18"/>
        <v>1</v>
      </c>
      <c r="R152" s="32">
        <f t="shared" ca="1" si="19"/>
        <v>0</v>
      </c>
      <c r="S152" s="33" t="s">
        <v>39</v>
      </c>
      <c r="T152" s="34">
        <f t="shared" si="20"/>
        <v>0</v>
      </c>
      <c r="U152" s="34">
        <f t="shared" ca="1" si="21"/>
        <v>0</v>
      </c>
      <c r="V152" s="34">
        <f>-SUMPRODUCT((S$6:S151=S152)*(X$6:X151=X152))</f>
        <v>0</v>
      </c>
      <c r="W152" s="34">
        <f>-SUMPRODUCT((S$6:S151=S152)*(X$6:X151=X152)*(B$6:B151&lt;&gt;"NS"))</f>
        <v>0</v>
      </c>
      <c r="X152" s="35">
        <f t="shared" si="22"/>
        <v>229.22900000000001</v>
      </c>
      <c r="Y152" s="29">
        <v>229</v>
      </c>
      <c r="Z152" s="29"/>
      <c r="AA152" s="29"/>
      <c r="AB152" s="29"/>
      <c r="AC152" s="29"/>
      <c r="AD152" s="29"/>
      <c r="AF152" s="36">
        <v>0</v>
      </c>
      <c r="AG152" s="36">
        <v>0</v>
      </c>
      <c r="AH152" s="36">
        <v>0</v>
      </c>
      <c r="AI152" s="36">
        <v>0</v>
      </c>
      <c r="AJ152" s="37">
        <v>1</v>
      </c>
      <c r="AK152" s="38">
        <v>229.21520000000001</v>
      </c>
      <c r="AL152" s="39">
        <v>229</v>
      </c>
      <c r="AM152" s="32">
        <v>458</v>
      </c>
      <c r="AN152" s="39"/>
      <c r="AO152" s="39"/>
      <c r="AP152" s="39"/>
      <c r="AQ152" s="50"/>
      <c r="AS152" s="1"/>
    </row>
    <row r="153" spans="1:45" s="26" customFormat="1" ht="15">
      <c r="A153" s="1">
        <v>46</v>
      </c>
      <c r="B153" s="1">
        <v>46</v>
      </c>
      <c r="C153" s="1"/>
      <c r="D153" s="1"/>
      <c r="E153" s="61" t="s">
        <v>502</v>
      </c>
      <c r="F153" s="29" t="s">
        <v>76</v>
      </c>
      <c r="G153" s="29">
        <v>130</v>
      </c>
      <c r="H153" s="29">
        <v>95</v>
      </c>
      <c r="I153" s="29"/>
      <c r="J153" s="29"/>
      <c r="K153" s="29"/>
      <c r="L153" s="29"/>
      <c r="M153" s="32">
        <f t="shared" si="16"/>
        <v>225</v>
      </c>
      <c r="N153" s="32" t="s">
        <v>1330</v>
      </c>
      <c r="O153" s="32"/>
      <c r="P153" s="32">
        <f t="shared" si="17"/>
        <v>224.9853</v>
      </c>
      <c r="Q153" s="32">
        <f t="shared" si="18"/>
        <v>2</v>
      </c>
      <c r="R153" s="32">
        <f t="shared" ca="1" si="19"/>
        <v>0</v>
      </c>
      <c r="S153" s="33" t="s">
        <v>39</v>
      </c>
      <c r="T153" s="34">
        <f t="shared" si="20"/>
        <v>0</v>
      </c>
      <c r="U153" s="34">
        <f t="shared" ca="1" si="21"/>
        <v>0</v>
      </c>
      <c r="V153" s="34">
        <f>-SUMPRODUCT((S$6:S152=S153)*(X$6:X152=X153))</f>
        <v>0</v>
      </c>
      <c r="W153" s="34">
        <f>-SUMPRODUCT((S$6:S152=S153)*(X$6:X152=X153)*(B$6:B152&lt;&gt;"NS"))</f>
        <v>0</v>
      </c>
      <c r="X153" s="35">
        <f t="shared" si="22"/>
        <v>225.1395</v>
      </c>
      <c r="Y153" s="29">
        <v>130</v>
      </c>
      <c r="Z153" s="29">
        <v>95</v>
      </c>
      <c r="AA153" s="29"/>
      <c r="AB153" s="29"/>
      <c r="AC153" s="29"/>
      <c r="AD153" s="29"/>
      <c r="AF153" s="36">
        <v>0</v>
      </c>
      <c r="AG153" s="36">
        <v>0</v>
      </c>
      <c r="AH153" s="36">
        <v>0</v>
      </c>
      <c r="AI153" s="36">
        <v>0</v>
      </c>
      <c r="AJ153" s="37">
        <v>2</v>
      </c>
      <c r="AK153" s="38">
        <v>225.12559999999999</v>
      </c>
      <c r="AL153" s="39">
        <v>130</v>
      </c>
      <c r="AM153" s="32">
        <v>355</v>
      </c>
      <c r="AN153" s="39"/>
      <c r="AO153" s="39"/>
      <c r="AP153" s="39"/>
      <c r="AQ153" s="50"/>
      <c r="AS153" s="1"/>
    </row>
    <row r="154" spans="1:45" s="26" customFormat="1" ht="15">
      <c r="A154" s="1">
        <v>47</v>
      </c>
      <c r="B154" s="1">
        <v>47</v>
      </c>
      <c r="C154" s="1"/>
      <c r="D154" s="1"/>
      <c r="E154" s="61" t="s">
        <v>503</v>
      </c>
      <c r="F154" s="29" t="s">
        <v>118</v>
      </c>
      <c r="G154" s="29">
        <v>218</v>
      </c>
      <c r="H154" s="29"/>
      <c r="I154" s="29"/>
      <c r="J154" s="29"/>
      <c r="K154" s="29"/>
      <c r="L154" s="29"/>
      <c r="M154" s="32">
        <f t="shared" si="16"/>
        <v>218</v>
      </c>
      <c r="N154" s="32" t="s">
        <v>1330</v>
      </c>
      <c r="O154" s="32"/>
      <c r="P154" s="32">
        <f t="shared" si="17"/>
        <v>217.98519999999999</v>
      </c>
      <c r="Q154" s="32">
        <f t="shared" si="18"/>
        <v>1</v>
      </c>
      <c r="R154" s="32">
        <f t="shared" ca="1" si="19"/>
        <v>0</v>
      </c>
      <c r="S154" s="33" t="s">
        <v>39</v>
      </c>
      <c r="T154" s="34">
        <f t="shared" si="20"/>
        <v>0</v>
      </c>
      <c r="U154" s="34">
        <f t="shared" ca="1" si="21"/>
        <v>0</v>
      </c>
      <c r="V154" s="34">
        <f>-SUMPRODUCT((S$6:S153=S154)*(X$6:X153=X154))</f>
        <v>0</v>
      </c>
      <c r="W154" s="34">
        <f>-SUMPRODUCT((S$6:S153=S154)*(X$6:X153=X154)*(B$6:B153&lt;&gt;"NS"))</f>
        <v>0</v>
      </c>
      <c r="X154" s="35">
        <f t="shared" si="22"/>
        <v>218.21799999999999</v>
      </c>
      <c r="Y154" s="29">
        <v>218</v>
      </c>
      <c r="Z154" s="29"/>
      <c r="AA154" s="29"/>
      <c r="AB154" s="29"/>
      <c r="AC154" s="29"/>
      <c r="AD154" s="29"/>
      <c r="AF154" s="36">
        <v>0</v>
      </c>
      <c r="AG154" s="36">
        <v>0</v>
      </c>
      <c r="AH154" s="36">
        <v>0</v>
      </c>
      <c r="AI154" s="36">
        <v>0</v>
      </c>
      <c r="AJ154" s="37">
        <v>1</v>
      </c>
      <c r="AK154" s="38">
        <v>218.20389999999998</v>
      </c>
      <c r="AL154" s="39">
        <v>218</v>
      </c>
      <c r="AM154" s="32">
        <v>436</v>
      </c>
      <c r="AN154" s="39"/>
      <c r="AO154" s="39"/>
      <c r="AP154" s="39"/>
      <c r="AQ154" s="50"/>
      <c r="AS154" s="1"/>
    </row>
    <row r="155" spans="1:45" s="26" customFormat="1" ht="15">
      <c r="A155" s="1">
        <v>48</v>
      </c>
      <c r="B155" s="1">
        <v>48</v>
      </c>
      <c r="C155" s="1"/>
      <c r="D155" s="1"/>
      <c r="E155" s="61" t="s">
        <v>504</v>
      </c>
      <c r="F155" s="29" t="s">
        <v>88</v>
      </c>
      <c r="G155" s="29"/>
      <c r="H155" s="29">
        <v>210</v>
      </c>
      <c r="I155" s="29"/>
      <c r="J155" s="29"/>
      <c r="K155" s="29"/>
      <c r="L155" s="29"/>
      <c r="M155" s="32">
        <f t="shared" si="16"/>
        <v>210</v>
      </c>
      <c r="N155" s="32" t="s">
        <v>1330</v>
      </c>
      <c r="O155" s="32"/>
      <c r="P155" s="32">
        <f t="shared" si="17"/>
        <v>209.98509999999999</v>
      </c>
      <c r="Q155" s="32">
        <f t="shared" si="18"/>
        <v>1</v>
      </c>
      <c r="R155" s="32">
        <f t="shared" ca="1" si="19"/>
        <v>0</v>
      </c>
      <c r="S155" s="33" t="s">
        <v>39</v>
      </c>
      <c r="T155" s="34">
        <f t="shared" si="20"/>
        <v>0</v>
      </c>
      <c r="U155" s="34">
        <f t="shared" ca="1" si="21"/>
        <v>0</v>
      </c>
      <c r="V155" s="34">
        <f>-SUMPRODUCT((S$6:S154=S155)*(X$6:X154=X155))</f>
        <v>0</v>
      </c>
      <c r="W155" s="34">
        <f>-SUMPRODUCT((S$6:S154=S155)*(X$6:X154=X155)*(B$6:B154&lt;&gt;"NS"))</f>
        <v>0</v>
      </c>
      <c r="X155" s="35">
        <f t="shared" si="22"/>
        <v>210.21</v>
      </c>
      <c r="Y155" s="29">
        <v>210</v>
      </c>
      <c r="Z155" s="29"/>
      <c r="AA155" s="29"/>
      <c r="AB155" s="29"/>
      <c r="AC155" s="29"/>
      <c r="AD155" s="29"/>
      <c r="AF155" s="36">
        <v>0</v>
      </c>
      <c r="AG155" s="36">
        <v>0</v>
      </c>
      <c r="AH155" s="36">
        <v>0</v>
      </c>
      <c r="AI155" s="36">
        <v>0</v>
      </c>
      <c r="AJ155" s="37">
        <v>1</v>
      </c>
      <c r="AK155" s="38">
        <v>210.19580000000002</v>
      </c>
      <c r="AL155" s="39">
        <v>210</v>
      </c>
      <c r="AM155" s="32">
        <v>420</v>
      </c>
      <c r="AN155" s="39"/>
      <c r="AO155" s="39"/>
      <c r="AP155" s="39"/>
      <c r="AQ155" s="50"/>
      <c r="AS155" s="1"/>
    </row>
    <row r="156" spans="1:45" s="26" customFormat="1" ht="15">
      <c r="A156" s="1">
        <v>49</v>
      </c>
      <c r="B156" s="1">
        <v>49</v>
      </c>
      <c r="C156" s="1"/>
      <c r="D156" s="1"/>
      <c r="E156" s="61" t="s">
        <v>505</v>
      </c>
      <c r="F156" s="29" t="s">
        <v>485</v>
      </c>
      <c r="G156" s="29"/>
      <c r="H156" s="29">
        <v>80</v>
      </c>
      <c r="I156" s="29"/>
      <c r="J156" s="29">
        <v>130</v>
      </c>
      <c r="K156" s="29"/>
      <c r="L156" s="29"/>
      <c r="M156" s="32">
        <f t="shared" si="16"/>
        <v>210</v>
      </c>
      <c r="N156" s="32" t="s">
        <v>1330</v>
      </c>
      <c r="O156" s="32"/>
      <c r="P156" s="32">
        <f t="shared" si="17"/>
        <v>209.98500000000001</v>
      </c>
      <c r="Q156" s="32">
        <f t="shared" si="18"/>
        <v>2</v>
      </c>
      <c r="R156" s="32">
        <f t="shared" ca="1" si="19"/>
        <v>0</v>
      </c>
      <c r="S156" s="33" t="s">
        <v>39</v>
      </c>
      <c r="T156" s="34">
        <f t="shared" si="20"/>
        <v>0</v>
      </c>
      <c r="U156" s="34">
        <f t="shared" ca="1" si="21"/>
        <v>0</v>
      </c>
      <c r="V156" s="34">
        <f>-SUMPRODUCT((S$6:S155=S156)*(X$6:X155=X156))</f>
        <v>0</v>
      </c>
      <c r="W156" s="34">
        <f>-SUMPRODUCT((S$6:S155=S156)*(X$6:X155=X156)*(B$6:B155&lt;&gt;"NS"))</f>
        <v>0</v>
      </c>
      <c r="X156" s="35">
        <f t="shared" si="22"/>
        <v>210.13800000000001</v>
      </c>
      <c r="Y156" s="29">
        <v>130</v>
      </c>
      <c r="Z156" s="29">
        <v>80</v>
      </c>
      <c r="AA156" s="29"/>
      <c r="AB156" s="29"/>
      <c r="AC156" s="29"/>
      <c r="AD156" s="29"/>
      <c r="AF156" s="36">
        <v>0</v>
      </c>
      <c r="AG156" s="36">
        <v>0</v>
      </c>
      <c r="AH156" s="36">
        <v>0</v>
      </c>
      <c r="AI156" s="36">
        <v>0</v>
      </c>
      <c r="AJ156" s="37">
        <v>2</v>
      </c>
      <c r="AK156" s="38">
        <v>210.12370000000001</v>
      </c>
      <c r="AL156" s="39">
        <v>130</v>
      </c>
      <c r="AM156" s="32">
        <v>340</v>
      </c>
      <c r="AN156" s="39"/>
      <c r="AO156" s="39"/>
      <c r="AP156" s="39"/>
      <c r="AQ156" s="50"/>
      <c r="AS156" s="1"/>
    </row>
    <row r="157" spans="1:45" s="26" customFormat="1" ht="15">
      <c r="A157" s="1">
        <v>50</v>
      </c>
      <c r="B157" s="1">
        <v>50</v>
      </c>
      <c r="C157" s="1"/>
      <c r="D157" s="1"/>
      <c r="E157" s="61" t="s">
        <v>506</v>
      </c>
      <c r="F157" s="29" t="s">
        <v>485</v>
      </c>
      <c r="G157" s="29"/>
      <c r="H157" s="29">
        <v>198</v>
      </c>
      <c r="I157" s="29"/>
      <c r="J157" s="29"/>
      <c r="K157" s="29"/>
      <c r="L157" s="29"/>
      <c r="M157" s="32">
        <f t="shared" si="16"/>
        <v>198</v>
      </c>
      <c r="N157" s="32" t="s">
        <v>1330</v>
      </c>
      <c r="O157" s="32"/>
      <c r="P157" s="32">
        <f t="shared" si="17"/>
        <v>197.98490000000001</v>
      </c>
      <c r="Q157" s="32">
        <f t="shared" si="18"/>
        <v>1</v>
      </c>
      <c r="R157" s="32">
        <f t="shared" ca="1" si="19"/>
        <v>0</v>
      </c>
      <c r="S157" s="33" t="s">
        <v>39</v>
      </c>
      <c r="T157" s="34">
        <f t="shared" si="20"/>
        <v>0</v>
      </c>
      <c r="U157" s="34">
        <f t="shared" ca="1" si="21"/>
        <v>0</v>
      </c>
      <c r="V157" s="34">
        <f>-SUMPRODUCT((S$6:S156=S157)*(X$6:X156=X157))</f>
        <v>0</v>
      </c>
      <c r="W157" s="34">
        <f>-SUMPRODUCT((S$6:S156=S157)*(X$6:X156=X157)*(B$6:B156&lt;&gt;"NS"))</f>
        <v>0</v>
      </c>
      <c r="X157" s="35">
        <f t="shared" si="22"/>
        <v>198.19800000000001</v>
      </c>
      <c r="Y157" s="29">
        <v>198</v>
      </c>
      <c r="Z157" s="29"/>
      <c r="AA157" s="29"/>
      <c r="AB157" s="29"/>
      <c r="AC157" s="29"/>
      <c r="AD157" s="29"/>
      <c r="AF157" s="36">
        <v>0</v>
      </c>
      <c r="AG157" s="36">
        <v>0</v>
      </c>
      <c r="AH157" s="36">
        <v>0</v>
      </c>
      <c r="AI157" s="36">
        <v>0</v>
      </c>
      <c r="AJ157" s="37">
        <v>1</v>
      </c>
      <c r="AK157" s="38">
        <v>198.18360000000001</v>
      </c>
      <c r="AL157" s="39">
        <v>198</v>
      </c>
      <c r="AM157" s="32">
        <v>396</v>
      </c>
      <c r="AN157" s="39"/>
      <c r="AO157" s="39"/>
      <c r="AP157" s="39"/>
      <c r="AQ157" s="50"/>
      <c r="AS157" s="1"/>
    </row>
    <row r="158" spans="1:45" s="26" customFormat="1" ht="15">
      <c r="A158" s="1">
        <v>51</v>
      </c>
      <c r="B158" s="1">
        <v>51</v>
      </c>
      <c r="C158" s="1"/>
      <c r="D158" s="1"/>
      <c r="E158" s="61" t="s">
        <v>507</v>
      </c>
      <c r="F158" s="29" t="s">
        <v>50</v>
      </c>
      <c r="G158" s="29"/>
      <c r="H158" s="29"/>
      <c r="I158" s="29">
        <v>198</v>
      </c>
      <c r="J158" s="29"/>
      <c r="K158" s="29"/>
      <c r="L158" s="29"/>
      <c r="M158" s="32">
        <f t="shared" si="16"/>
        <v>198</v>
      </c>
      <c r="N158" s="32" t="s">
        <v>1330</v>
      </c>
      <c r="O158" s="32"/>
      <c r="P158" s="32">
        <f t="shared" si="17"/>
        <v>197.98480000000001</v>
      </c>
      <c r="Q158" s="32">
        <f t="shared" si="18"/>
        <v>1</v>
      </c>
      <c r="R158" s="32">
        <f t="shared" ca="1" si="19"/>
        <v>0</v>
      </c>
      <c r="S158" s="33" t="s">
        <v>39</v>
      </c>
      <c r="T158" s="34">
        <f t="shared" si="20"/>
        <v>0</v>
      </c>
      <c r="U158" s="34">
        <f t="shared" ca="1" si="21"/>
        <v>0</v>
      </c>
      <c r="V158" s="34">
        <f>-SUMPRODUCT((S$6:S157=S158)*(X$6:X157=X158))</f>
        <v>-1</v>
      </c>
      <c r="W158" s="34">
        <f>-SUMPRODUCT((S$6:S157=S158)*(X$6:X157=X158)*(B$6:B157&lt;&gt;"NS"))</f>
        <v>-1</v>
      </c>
      <c r="X158" s="35">
        <f t="shared" si="22"/>
        <v>198.19800000000001</v>
      </c>
      <c r="Y158" s="29">
        <v>198</v>
      </c>
      <c r="Z158" s="29"/>
      <c r="AA158" s="29"/>
      <c r="AB158" s="29"/>
      <c r="AC158" s="29"/>
      <c r="AD158" s="29"/>
      <c r="AF158" s="36">
        <v>0</v>
      </c>
      <c r="AG158" s="36">
        <v>0</v>
      </c>
      <c r="AH158" s="36">
        <v>0</v>
      </c>
      <c r="AI158" s="36">
        <v>0</v>
      </c>
      <c r="AJ158" s="37">
        <v>1</v>
      </c>
      <c r="AK158" s="38">
        <v>198.18350000000001</v>
      </c>
      <c r="AL158" s="39">
        <v>198</v>
      </c>
      <c r="AM158" s="32">
        <v>396</v>
      </c>
      <c r="AN158" s="39"/>
      <c r="AO158" s="39"/>
      <c r="AP158" s="39"/>
      <c r="AQ158" s="50"/>
      <c r="AS158" s="1"/>
    </row>
    <row r="159" spans="1:45" s="26" customFormat="1" ht="15">
      <c r="A159" s="1">
        <v>52</v>
      </c>
      <c r="B159" s="1">
        <v>52</v>
      </c>
      <c r="C159" s="1"/>
      <c r="D159" s="1"/>
      <c r="E159" s="61" t="s">
        <v>508</v>
      </c>
      <c r="F159" s="29" t="s">
        <v>93</v>
      </c>
      <c r="G159" s="29"/>
      <c r="H159" s="29"/>
      <c r="I159" s="29"/>
      <c r="J159" s="29">
        <v>193</v>
      </c>
      <c r="K159" s="29"/>
      <c r="L159" s="29"/>
      <c r="M159" s="32">
        <f t="shared" si="16"/>
        <v>193</v>
      </c>
      <c r="N159" s="32" t="s">
        <v>1330</v>
      </c>
      <c r="O159" s="32"/>
      <c r="P159" s="32">
        <f t="shared" si="17"/>
        <v>192.9847</v>
      </c>
      <c r="Q159" s="32">
        <f t="shared" si="18"/>
        <v>1</v>
      </c>
      <c r="R159" s="32">
        <f t="shared" ca="1" si="19"/>
        <v>0</v>
      </c>
      <c r="S159" s="33" t="s">
        <v>39</v>
      </c>
      <c r="T159" s="34">
        <f t="shared" si="20"/>
        <v>0</v>
      </c>
      <c r="U159" s="34">
        <f t="shared" ca="1" si="21"/>
        <v>0</v>
      </c>
      <c r="V159" s="34">
        <f>-SUMPRODUCT((S$6:S158=S159)*(X$6:X158=X159))</f>
        <v>0</v>
      </c>
      <c r="W159" s="34">
        <f>-SUMPRODUCT((S$6:S158=S159)*(X$6:X158=X159)*(B$6:B158&lt;&gt;"NS"))</f>
        <v>0</v>
      </c>
      <c r="X159" s="35">
        <f t="shared" si="22"/>
        <v>193.19300000000001</v>
      </c>
      <c r="Y159" s="29">
        <v>193</v>
      </c>
      <c r="Z159" s="29"/>
      <c r="AA159" s="29"/>
      <c r="AB159" s="29"/>
      <c r="AC159" s="29"/>
      <c r="AD159" s="29"/>
      <c r="AF159" s="36">
        <v>0</v>
      </c>
      <c r="AG159" s="36">
        <v>0</v>
      </c>
      <c r="AH159" s="36">
        <v>0</v>
      </c>
      <c r="AI159" s="36">
        <v>0</v>
      </c>
      <c r="AJ159" s="37">
        <v>1</v>
      </c>
      <c r="AK159" s="38">
        <v>193.17840000000001</v>
      </c>
      <c r="AL159" s="39">
        <v>193</v>
      </c>
      <c r="AM159" s="32">
        <v>386</v>
      </c>
      <c r="AN159" s="39"/>
      <c r="AO159" s="39"/>
      <c r="AP159" s="39"/>
      <c r="AQ159" s="50"/>
      <c r="AS159" s="1"/>
    </row>
    <row r="160" spans="1:45" s="26" customFormat="1" ht="15">
      <c r="A160" s="1">
        <v>53</v>
      </c>
      <c r="B160" s="1">
        <v>53</v>
      </c>
      <c r="C160" s="1"/>
      <c r="D160" s="1"/>
      <c r="E160" s="61" t="s">
        <v>509</v>
      </c>
      <c r="F160" s="29" t="s">
        <v>19</v>
      </c>
      <c r="G160" s="29"/>
      <c r="H160" s="29"/>
      <c r="I160" s="29">
        <v>183</v>
      </c>
      <c r="J160" s="29"/>
      <c r="K160" s="29"/>
      <c r="L160" s="29"/>
      <c r="M160" s="32">
        <f t="shared" si="16"/>
        <v>183</v>
      </c>
      <c r="N160" s="32" t="s">
        <v>1330</v>
      </c>
      <c r="O160" s="32"/>
      <c r="P160" s="32">
        <f t="shared" si="17"/>
        <v>182.9846</v>
      </c>
      <c r="Q160" s="32">
        <f t="shared" si="18"/>
        <v>1</v>
      </c>
      <c r="R160" s="32">
        <f t="shared" ca="1" si="19"/>
        <v>0</v>
      </c>
      <c r="S160" s="33" t="s">
        <v>39</v>
      </c>
      <c r="T160" s="34">
        <f t="shared" si="20"/>
        <v>0</v>
      </c>
      <c r="U160" s="34">
        <f t="shared" ca="1" si="21"/>
        <v>0</v>
      </c>
      <c r="V160" s="34">
        <f>-SUMPRODUCT((S$6:S159=S160)*(X$6:X159=X160))</f>
        <v>0</v>
      </c>
      <c r="W160" s="34">
        <f>-SUMPRODUCT((S$6:S159=S160)*(X$6:X159=X160)*(B$6:B159&lt;&gt;"NS"))</f>
        <v>0</v>
      </c>
      <c r="X160" s="35">
        <f t="shared" si="22"/>
        <v>183.18299999999999</v>
      </c>
      <c r="Y160" s="29">
        <v>183</v>
      </c>
      <c r="Z160" s="29"/>
      <c r="AA160" s="29"/>
      <c r="AB160" s="29"/>
      <c r="AC160" s="29"/>
      <c r="AD160" s="29"/>
      <c r="AF160" s="36">
        <v>0</v>
      </c>
      <c r="AG160" s="36">
        <v>0</v>
      </c>
      <c r="AH160" s="36">
        <v>0</v>
      </c>
      <c r="AI160" s="36">
        <v>0</v>
      </c>
      <c r="AJ160" s="37">
        <v>1</v>
      </c>
      <c r="AK160" s="38">
        <v>183.16829999999999</v>
      </c>
      <c r="AL160" s="39">
        <v>183</v>
      </c>
      <c r="AM160" s="32">
        <v>366</v>
      </c>
      <c r="AN160" s="39"/>
      <c r="AO160" s="39"/>
      <c r="AP160" s="39"/>
      <c r="AQ160" s="50"/>
      <c r="AS160" s="1"/>
    </row>
    <row r="161" spans="1:45" s="26" customFormat="1" ht="15">
      <c r="A161" s="1">
        <v>54</v>
      </c>
      <c r="B161" s="1">
        <v>54</v>
      </c>
      <c r="C161" s="1"/>
      <c r="D161" s="1"/>
      <c r="E161" s="61" t="s">
        <v>510</v>
      </c>
      <c r="F161" s="29" t="s">
        <v>66</v>
      </c>
      <c r="G161" s="29">
        <v>33</v>
      </c>
      <c r="H161" s="29"/>
      <c r="I161" s="29"/>
      <c r="J161" s="29">
        <v>142</v>
      </c>
      <c r="K161" s="29"/>
      <c r="L161" s="29"/>
      <c r="M161" s="32">
        <f t="shared" si="16"/>
        <v>175</v>
      </c>
      <c r="N161" s="32" t="s">
        <v>1330</v>
      </c>
      <c r="O161" s="32"/>
      <c r="P161" s="32">
        <f t="shared" si="17"/>
        <v>174.9845</v>
      </c>
      <c r="Q161" s="32">
        <f t="shared" si="18"/>
        <v>2</v>
      </c>
      <c r="R161" s="32">
        <f t="shared" ca="1" si="19"/>
        <v>0</v>
      </c>
      <c r="S161" s="33" t="s">
        <v>39</v>
      </c>
      <c r="T161" s="34">
        <f t="shared" si="20"/>
        <v>0</v>
      </c>
      <c r="U161" s="34">
        <f t="shared" ca="1" si="21"/>
        <v>0</v>
      </c>
      <c r="V161" s="34">
        <f>-SUMPRODUCT((S$6:S160=S161)*(X$6:X160=X161))</f>
        <v>0</v>
      </c>
      <c r="W161" s="34">
        <f>-SUMPRODUCT((S$6:S160=S161)*(X$6:X160=X161)*(B$6:B160&lt;&gt;"NS"))</f>
        <v>0</v>
      </c>
      <c r="X161" s="35">
        <f t="shared" si="22"/>
        <v>175.14529999999999</v>
      </c>
      <c r="Y161" s="29">
        <v>142</v>
      </c>
      <c r="Z161" s="29">
        <v>33</v>
      </c>
      <c r="AA161" s="29"/>
      <c r="AB161" s="29"/>
      <c r="AC161" s="29"/>
      <c r="AD161" s="29"/>
      <c r="AF161" s="36">
        <v>0</v>
      </c>
      <c r="AG161" s="36">
        <v>0</v>
      </c>
      <c r="AH161" s="36">
        <v>0</v>
      </c>
      <c r="AI161" s="36">
        <v>0</v>
      </c>
      <c r="AJ161" s="37">
        <v>2</v>
      </c>
      <c r="AK161" s="38">
        <v>175.13049999999998</v>
      </c>
      <c r="AL161" s="39">
        <v>142</v>
      </c>
      <c r="AM161" s="32">
        <v>317</v>
      </c>
      <c r="AN161" s="39"/>
      <c r="AO161" s="39"/>
      <c r="AP161" s="39"/>
      <c r="AQ161" s="50"/>
      <c r="AS161" s="1"/>
    </row>
    <row r="162" spans="1:45" s="26" customFormat="1" ht="15">
      <c r="A162" s="1">
        <v>55</v>
      </c>
      <c r="B162" s="1">
        <v>55</v>
      </c>
      <c r="C162" s="1"/>
      <c r="D162" s="1"/>
      <c r="E162" s="61" t="s">
        <v>511</v>
      </c>
      <c r="F162" s="29" t="s">
        <v>88</v>
      </c>
      <c r="G162" s="29"/>
      <c r="H162" s="29">
        <v>155</v>
      </c>
      <c r="I162" s="29"/>
      <c r="J162" s="29"/>
      <c r="K162" s="29"/>
      <c r="L162" s="29"/>
      <c r="M162" s="32">
        <f t="shared" si="16"/>
        <v>155</v>
      </c>
      <c r="N162" s="32" t="s">
        <v>1330</v>
      </c>
      <c r="O162" s="32"/>
      <c r="P162" s="32">
        <f t="shared" si="17"/>
        <v>154.98439999999999</v>
      </c>
      <c r="Q162" s="32">
        <f t="shared" si="18"/>
        <v>1</v>
      </c>
      <c r="R162" s="32">
        <f t="shared" ca="1" si="19"/>
        <v>0</v>
      </c>
      <c r="S162" s="33" t="s">
        <v>39</v>
      </c>
      <c r="T162" s="34">
        <f t="shared" si="20"/>
        <v>0</v>
      </c>
      <c r="U162" s="34">
        <f t="shared" ca="1" si="21"/>
        <v>0</v>
      </c>
      <c r="V162" s="34">
        <f>-SUMPRODUCT((S$6:S161=S162)*(X$6:X161=X162))</f>
        <v>0</v>
      </c>
      <c r="W162" s="34">
        <f>-SUMPRODUCT((S$6:S161=S162)*(X$6:X161=X162)*(B$6:B161&lt;&gt;"NS"))</f>
        <v>0</v>
      </c>
      <c r="X162" s="35">
        <f t="shared" si="22"/>
        <v>155.155</v>
      </c>
      <c r="Y162" s="29">
        <v>155</v>
      </c>
      <c r="Z162" s="29"/>
      <c r="AA162" s="29"/>
      <c r="AB162" s="29"/>
      <c r="AC162" s="29"/>
      <c r="AD162" s="29"/>
      <c r="AF162" s="36">
        <v>0</v>
      </c>
      <c r="AG162" s="36">
        <v>0</v>
      </c>
      <c r="AH162" s="36">
        <v>0</v>
      </c>
      <c r="AI162" s="36">
        <v>0</v>
      </c>
      <c r="AJ162" s="37">
        <v>1</v>
      </c>
      <c r="AK162" s="38">
        <v>155.14000000000001</v>
      </c>
      <c r="AL162" s="39">
        <v>155</v>
      </c>
      <c r="AM162" s="32">
        <v>310</v>
      </c>
      <c r="AN162" s="39"/>
      <c r="AO162" s="39"/>
      <c r="AP162" s="39"/>
      <c r="AQ162" s="50"/>
      <c r="AS162" s="1"/>
    </row>
    <row r="163" spans="1:45" s="26" customFormat="1" ht="15">
      <c r="A163" s="1">
        <v>56</v>
      </c>
      <c r="B163" s="1">
        <v>56</v>
      </c>
      <c r="C163" s="1"/>
      <c r="D163" s="1"/>
      <c r="E163" s="61" t="s">
        <v>512</v>
      </c>
      <c r="F163" s="29" t="s">
        <v>485</v>
      </c>
      <c r="G163" s="29">
        <v>126</v>
      </c>
      <c r="H163" s="29"/>
      <c r="I163" s="29"/>
      <c r="J163" s="29"/>
      <c r="K163" s="29"/>
      <c r="L163" s="29"/>
      <c r="M163" s="32">
        <f t="shared" si="16"/>
        <v>126</v>
      </c>
      <c r="N163" s="32" t="s">
        <v>1330</v>
      </c>
      <c r="O163" s="32"/>
      <c r="P163" s="32">
        <f t="shared" si="17"/>
        <v>125.9843</v>
      </c>
      <c r="Q163" s="32">
        <f t="shared" si="18"/>
        <v>1</v>
      </c>
      <c r="R163" s="32">
        <f t="shared" ca="1" si="19"/>
        <v>0</v>
      </c>
      <c r="S163" s="33" t="s">
        <v>39</v>
      </c>
      <c r="T163" s="34">
        <f t="shared" si="20"/>
        <v>0</v>
      </c>
      <c r="U163" s="34">
        <f t="shared" ca="1" si="21"/>
        <v>0</v>
      </c>
      <c r="V163" s="34">
        <f>-SUMPRODUCT((S$6:S162=S163)*(X$6:X162=X163))</f>
        <v>0</v>
      </c>
      <c r="W163" s="34">
        <f>-SUMPRODUCT((S$6:S162=S163)*(X$6:X162=X163)*(B$6:B162&lt;&gt;"NS"))</f>
        <v>0</v>
      </c>
      <c r="X163" s="35">
        <f t="shared" si="22"/>
        <v>126.126</v>
      </c>
      <c r="Y163" s="29">
        <v>126</v>
      </c>
      <c r="Z163" s="29"/>
      <c r="AA163" s="29"/>
      <c r="AB163" s="29"/>
      <c r="AC163" s="29"/>
      <c r="AD163" s="29"/>
      <c r="AF163" s="36">
        <v>0</v>
      </c>
      <c r="AG163" s="36">
        <v>0</v>
      </c>
      <c r="AH163" s="36">
        <v>0</v>
      </c>
      <c r="AI163" s="36">
        <v>0</v>
      </c>
      <c r="AJ163" s="37">
        <v>1</v>
      </c>
      <c r="AK163" s="38">
        <v>126.1109</v>
      </c>
      <c r="AL163" s="39">
        <v>126</v>
      </c>
      <c r="AM163" s="32">
        <v>252</v>
      </c>
      <c r="AN163" s="39"/>
      <c r="AO163" s="39"/>
      <c r="AP163" s="39"/>
      <c r="AQ163" s="50"/>
      <c r="AS163" s="1"/>
    </row>
    <row r="164" spans="1:45" s="26" customFormat="1" ht="15">
      <c r="A164" s="1">
        <v>57</v>
      </c>
      <c r="B164" s="1">
        <v>57</v>
      </c>
      <c r="C164" s="1"/>
      <c r="D164" s="1"/>
      <c r="E164" s="61" t="s">
        <v>513</v>
      </c>
      <c r="F164" s="29" t="s">
        <v>88</v>
      </c>
      <c r="G164" s="29">
        <v>82</v>
      </c>
      <c r="H164" s="29"/>
      <c r="I164" s="29"/>
      <c r="J164" s="29"/>
      <c r="K164" s="29"/>
      <c r="L164" s="29"/>
      <c r="M164" s="32">
        <f t="shared" si="16"/>
        <v>82</v>
      </c>
      <c r="N164" s="32" t="s">
        <v>1330</v>
      </c>
      <c r="O164" s="32"/>
      <c r="P164" s="32">
        <f t="shared" si="17"/>
        <v>81.984200000000001</v>
      </c>
      <c r="Q164" s="32">
        <f t="shared" si="18"/>
        <v>1</v>
      </c>
      <c r="R164" s="32">
        <f t="shared" ca="1" si="19"/>
        <v>0</v>
      </c>
      <c r="S164" s="33" t="s">
        <v>39</v>
      </c>
      <c r="T164" s="34">
        <f>1-(S164=S162)</f>
        <v>0</v>
      </c>
      <c r="U164" s="34">
        <f t="shared" ca="1" si="21"/>
        <v>0</v>
      </c>
      <c r="V164" s="34">
        <f>-SUMPRODUCT((S$6:S163=S164)*(X$6:X163=X164))</f>
        <v>0</v>
      </c>
      <c r="W164" s="34">
        <f>-SUMPRODUCT((S$6:S163=S164)*(X$6:X163=X164)*(B$6:B163&lt;&gt;"NS"))</f>
        <v>0</v>
      </c>
      <c r="X164" s="35">
        <f t="shared" si="22"/>
        <v>82.081999999999994</v>
      </c>
      <c r="Y164" s="29">
        <v>82</v>
      </c>
      <c r="Z164" s="29"/>
      <c r="AA164" s="29"/>
      <c r="AB164" s="29"/>
      <c r="AC164" s="29"/>
      <c r="AD164" s="29"/>
      <c r="AF164" s="36">
        <v>0</v>
      </c>
      <c r="AG164" s="36">
        <v>0</v>
      </c>
      <c r="AH164" s="36">
        <v>0</v>
      </c>
      <c r="AI164" s="36">
        <v>0</v>
      </c>
      <c r="AJ164" s="37">
        <v>1</v>
      </c>
      <c r="AK164" s="38">
        <v>82.066699999999997</v>
      </c>
      <c r="AL164" s="39">
        <v>82</v>
      </c>
      <c r="AM164" s="32">
        <v>164</v>
      </c>
      <c r="AN164" s="39"/>
      <c r="AO164" s="39"/>
      <c r="AP164" s="39"/>
      <c r="AQ164" s="50"/>
      <c r="AS164" s="1"/>
    </row>
    <row r="165" spans="1:45" s="26" customFormat="1" ht="15">
      <c r="A165" s="1">
        <v>58</v>
      </c>
      <c r="B165" s="1">
        <v>58</v>
      </c>
      <c r="C165" s="1"/>
      <c r="D165" s="1"/>
      <c r="E165" s="61" t="s">
        <v>514</v>
      </c>
      <c r="F165" s="29" t="s">
        <v>134</v>
      </c>
      <c r="G165" s="29"/>
      <c r="H165" s="29">
        <v>78</v>
      </c>
      <c r="I165" s="29"/>
      <c r="J165" s="29"/>
      <c r="K165" s="29"/>
      <c r="L165" s="29"/>
      <c r="M165" s="32">
        <f t="shared" si="16"/>
        <v>78</v>
      </c>
      <c r="N165" s="32" t="s">
        <v>1330</v>
      </c>
      <c r="O165" s="32"/>
      <c r="P165" s="32">
        <f t="shared" si="17"/>
        <v>77.984099999999998</v>
      </c>
      <c r="Q165" s="32">
        <f t="shared" si="18"/>
        <v>1</v>
      </c>
      <c r="R165" s="32">
        <f t="shared" ca="1" si="19"/>
        <v>0</v>
      </c>
      <c r="S165" s="33" t="s">
        <v>39</v>
      </c>
      <c r="T165" s="34">
        <f>1-(S165=S164)</f>
        <v>0</v>
      </c>
      <c r="U165" s="34">
        <f t="shared" ca="1" si="21"/>
        <v>0</v>
      </c>
      <c r="V165" s="34">
        <f>-SUMPRODUCT((S$6:S164=S165)*(X$6:X164=X165))</f>
        <v>0</v>
      </c>
      <c r="W165" s="34">
        <f>-SUMPRODUCT((S$6:S164=S165)*(X$6:X164=X165)*(B$6:B164&lt;&gt;"NS"))</f>
        <v>0</v>
      </c>
      <c r="X165" s="35">
        <f t="shared" si="22"/>
        <v>78.078000000000003</v>
      </c>
      <c r="Y165" s="29">
        <v>78</v>
      </c>
      <c r="Z165" s="29"/>
      <c r="AA165" s="29"/>
      <c r="AB165" s="29"/>
      <c r="AC165" s="29"/>
      <c r="AD165" s="29"/>
      <c r="AF165" s="36">
        <v>0</v>
      </c>
      <c r="AG165" s="36">
        <v>0</v>
      </c>
      <c r="AH165" s="36">
        <v>0</v>
      </c>
      <c r="AI165" s="36">
        <v>0</v>
      </c>
      <c r="AJ165" s="37">
        <v>1</v>
      </c>
      <c r="AK165" s="38">
        <v>78.062600000000003</v>
      </c>
      <c r="AL165" s="39">
        <v>78</v>
      </c>
      <c r="AM165" s="32">
        <v>156</v>
      </c>
      <c r="AN165" s="39"/>
      <c r="AO165" s="39"/>
      <c r="AP165" s="39"/>
      <c r="AQ165" s="50"/>
      <c r="AS165" s="1"/>
    </row>
    <row r="166" spans="1:45" ht="5.0999999999999996" customHeight="1">
      <c r="A166" s="61"/>
      <c r="B166" s="1"/>
      <c r="C166" s="1"/>
      <c r="D166" s="1"/>
      <c r="E166" s="61"/>
      <c r="F166" s="29"/>
      <c r="G166" s="29"/>
      <c r="H166" s="29"/>
      <c r="I166" s="29"/>
      <c r="J166" s="29"/>
      <c r="K166" s="29"/>
      <c r="L166" s="29"/>
      <c r="M166" s="32"/>
      <c r="N166" s="27"/>
      <c r="O166" s="27"/>
      <c r="P166" s="32"/>
      <c r="Q166" s="27"/>
      <c r="R166" s="27"/>
      <c r="T166" s="62"/>
      <c r="U166" s="62"/>
      <c r="V166" s="62"/>
      <c r="W166" s="62"/>
      <c r="X166" s="34"/>
      <c r="Y166" s="29"/>
      <c r="Z166" s="29"/>
      <c r="AA166" s="29"/>
      <c r="AB166" s="29"/>
      <c r="AC166" s="27"/>
      <c r="AD166" s="27"/>
      <c r="AJ166" s="63"/>
      <c r="AK166" s="63"/>
      <c r="AL166" s="26"/>
      <c r="AM166" s="26"/>
      <c r="AN166" s="39"/>
      <c r="AO166" s="39"/>
      <c r="AP166" s="39"/>
      <c r="AQ166" s="30"/>
      <c r="AR166" s="26"/>
      <c r="AS166" s="1"/>
    </row>
    <row r="167" spans="1:45" ht="15">
      <c r="A167" s="61"/>
      <c r="B167" s="1"/>
      <c r="C167" s="1"/>
      <c r="D167" s="1"/>
      <c r="E167" s="61"/>
      <c r="F167" s="29"/>
      <c r="G167" s="29"/>
      <c r="H167" s="27"/>
      <c r="I167" s="27"/>
      <c r="J167" s="27"/>
      <c r="K167" s="27"/>
      <c r="L167" s="27"/>
      <c r="M167" s="32"/>
      <c r="N167" s="27"/>
      <c r="O167" s="27"/>
      <c r="P167" s="32"/>
      <c r="Q167" s="27"/>
      <c r="R167" s="27"/>
      <c r="T167" s="62"/>
      <c r="U167" s="62"/>
      <c r="V167" s="62"/>
      <c r="W167" s="62"/>
      <c r="X167" s="34"/>
      <c r="Y167" s="29"/>
      <c r="Z167" s="29"/>
      <c r="AA167" s="29"/>
      <c r="AB167" s="29"/>
      <c r="AC167" s="27"/>
      <c r="AD167" s="27"/>
      <c r="AJ167" s="63"/>
      <c r="AK167" s="63"/>
      <c r="AL167" s="26"/>
      <c r="AM167" s="26"/>
      <c r="AN167" s="39"/>
      <c r="AO167" s="39"/>
      <c r="AP167" s="39"/>
      <c r="AQ167" s="30"/>
      <c r="AR167" s="26"/>
      <c r="AS167" s="1"/>
    </row>
    <row r="168" spans="1:45" ht="15">
      <c r="A168" s="1"/>
      <c r="B168" s="1"/>
      <c r="C168" s="1"/>
      <c r="D168" s="1"/>
      <c r="E168" s="60" t="s">
        <v>54</v>
      </c>
      <c r="F168" s="29"/>
      <c r="G168" s="29"/>
      <c r="H168" s="27"/>
      <c r="I168" s="27"/>
      <c r="J168" s="27"/>
      <c r="K168" s="27"/>
      <c r="L168" s="27"/>
      <c r="M168" s="32"/>
      <c r="N168" s="27"/>
      <c r="O168" s="27"/>
      <c r="P168" s="32"/>
      <c r="Q168" s="27"/>
      <c r="R168" s="27"/>
      <c r="S168" s="52" t="str">
        <f>E168</f>
        <v>M45</v>
      </c>
      <c r="T168" s="62"/>
      <c r="U168" s="62"/>
      <c r="V168" s="62"/>
      <c r="W168" s="62"/>
      <c r="X168" s="34"/>
      <c r="Y168" s="29"/>
      <c r="Z168" s="29"/>
      <c r="AA168" s="29"/>
      <c r="AB168" s="29"/>
      <c r="AC168" s="27"/>
      <c r="AD168" s="27"/>
      <c r="AJ168" s="63"/>
      <c r="AK168" s="63"/>
      <c r="AL168" s="26"/>
      <c r="AM168" s="26"/>
      <c r="AN168" s="39">
        <v>828</v>
      </c>
      <c r="AO168" s="39">
        <v>806</v>
      </c>
      <c r="AP168" s="39">
        <v>783</v>
      </c>
      <c r="AQ168" s="30"/>
      <c r="AR168" s="26"/>
      <c r="AS168" s="1"/>
    </row>
    <row r="169" spans="1:45" ht="15">
      <c r="A169" s="1">
        <v>1</v>
      </c>
      <c r="B169" s="1">
        <v>1</v>
      </c>
      <c r="C169" s="1"/>
      <c r="D169" s="1"/>
      <c r="E169" s="61" t="s">
        <v>51</v>
      </c>
      <c r="F169" s="29" t="s">
        <v>53</v>
      </c>
      <c r="G169" s="29"/>
      <c r="H169" s="27">
        <v>272</v>
      </c>
      <c r="I169" s="27"/>
      <c r="J169" s="27">
        <v>287</v>
      </c>
      <c r="K169" s="27">
        <v>289</v>
      </c>
      <c r="L169" s="27"/>
      <c r="M169" s="32">
        <f t="shared" ref="M169:M214" si="23">IFERROR(LARGE(G169:L169,1),0)+IF($F$5&gt;=2,IFERROR(LARGE(G169:L169,2),0),0)+IF($F$5&gt;=3,IFERROR(LARGE(G169:L169,3),0),0)+IF($F$5&gt;=4,IFERROR(LARGE(G169:L169,4),0),0)+IF($F$5&gt;=5,IFERROR(LARGE(G169:L169,5),0),0)+IF($F$5&gt;=6,IFERROR(LARGE(G169:L169,6),0),0)</f>
        <v>848</v>
      </c>
      <c r="N169" s="32" t="s">
        <v>1330</v>
      </c>
      <c r="O169" s="32" t="s">
        <v>515</v>
      </c>
      <c r="P169" s="32">
        <f t="shared" ref="P169:P214" si="24">M169-(ROW(M169)-ROW(M$6))/10000</f>
        <v>847.9837</v>
      </c>
      <c r="Q169" s="32">
        <f t="shared" ref="Q169:Q214" si="25">COUNT(G169:L169)</f>
        <v>3</v>
      </c>
      <c r="R169" s="32">
        <f t="shared" ref="R169:R214" ca="1" si="26">IF(AND(Q169=1,OFFSET(F169,0,R$3)&gt;0),"Y",0)</f>
        <v>0</v>
      </c>
      <c r="S169" s="33" t="s">
        <v>54</v>
      </c>
      <c r="T169" s="34">
        <f t="shared" ref="T169:T214" si="27">1-(S169=S168)</f>
        <v>0</v>
      </c>
      <c r="U169" s="34">
        <f t="shared" ref="U169:U214" ca="1" si="28">OFFSET(F169,0,$R$3)</f>
        <v>289</v>
      </c>
      <c r="V169" s="34">
        <f>-SUMPRODUCT((S$6:S168=S169)*(X$6:X168=X169))</f>
        <v>0</v>
      </c>
      <c r="W169" s="34">
        <f>-SUMPRODUCT((S$6:S168=S169)*(X$6:X168=X169)*(B$6:B168&lt;&gt;"NS"))</f>
        <v>0</v>
      </c>
      <c r="X169" s="35">
        <f t="shared" ref="X169:X214" si="29">M169+SUMPRODUCT(Y$4:AD$4,Y169:AD169)</f>
        <v>848.32042000000001</v>
      </c>
      <c r="Y169" s="27">
        <v>289</v>
      </c>
      <c r="Z169" s="27">
        <v>287</v>
      </c>
      <c r="AA169" s="27">
        <v>272</v>
      </c>
      <c r="AB169" s="29"/>
      <c r="AC169" s="27"/>
      <c r="AD169" s="27"/>
      <c r="AF169" s="36">
        <v>0</v>
      </c>
      <c r="AG169" s="36">
        <v>0</v>
      </c>
      <c r="AH169" s="36">
        <v>0</v>
      </c>
      <c r="AI169" s="36">
        <v>0</v>
      </c>
      <c r="AJ169" s="37">
        <v>2</v>
      </c>
      <c r="AK169" s="38">
        <v>559.29790000000003</v>
      </c>
      <c r="AL169" s="39">
        <v>287</v>
      </c>
      <c r="AM169" s="32">
        <v>846</v>
      </c>
      <c r="AN169" s="39" t="s">
        <v>515</v>
      </c>
      <c r="AO169" s="39" t="s">
        <v>516</v>
      </c>
      <c r="AP169" s="39" t="s">
        <v>517</v>
      </c>
      <c r="AQ169" s="30"/>
      <c r="AR169" s="26"/>
      <c r="AS169" s="1"/>
    </row>
    <row r="170" spans="1:45" ht="15">
      <c r="A170" s="1">
        <v>2</v>
      </c>
      <c r="B170" s="1">
        <v>2</v>
      </c>
      <c r="C170" s="1"/>
      <c r="D170" s="1"/>
      <c r="E170" s="61" t="s">
        <v>67</v>
      </c>
      <c r="F170" s="29" t="s">
        <v>69</v>
      </c>
      <c r="G170" s="29">
        <v>271</v>
      </c>
      <c r="H170" s="27">
        <v>276</v>
      </c>
      <c r="I170" s="27"/>
      <c r="J170" s="27">
        <v>281</v>
      </c>
      <c r="K170" s="27">
        <v>284</v>
      </c>
      <c r="L170" s="27"/>
      <c r="M170" s="32">
        <f t="shared" si="23"/>
        <v>841</v>
      </c>
      <c r="N170" s="32" t="s">
        <v>1330</v>
      </c>
      <c r="O170" s="32" t="s">
        <v>516</v>
      </c>
      <c r="P170" s="32">
        <f t="shared" si="24"/>
        <v>840.98360000000002</v>
      </c>
      <c r="Q170" s="32">
        <f t="shared" si="25"/>
        <v>4</v>
      </c>
      <c r="R170" s="32">
        <f t="shared" ca="1" si="26"/>
        <v>0</v>
      </c>
      <c r="S170" s="33" t="s">
        <v>54</v>
      </c>
      <c r="T170" s="34">
        <f t="shared" si="27"/>
        <v>0</v>
      </c>
      <c r="U170" s="34">
        <f t="shared" ca="1" si="28"/>
        <v>284</v>
      </c>
      <c r="V170" s="34">
        <f>-SUMPRODUCT((S$6:S169=S170)*(X$6:X169=X170))</f>
        <v>0</v>
      </c>
      <c r="W170" s="34">
        <f>-SUMPRODUCT((S$6:S169=S170)*(X$6:X169=X170)*(B$6:B169&lt;&gt;"NS"))</f>
        <v>0</v>
      </c>
      <c r="X170" s="35">
        <f t="shared" si="29"/>
        <v>841.31485999999995</v>
      </c>
      <c r="Y170" s="27">
        <v>284</v>
      </c>
      <c r="Z170" s="27">
        <v>281</v>
      </c>
      <c r="AA170" s="27">
        <v>276</v>
      </c>
      <c r="AB170" s="29">
        <v>271</v>
      </c>
      <c r="AC170" s="27"/>
      <c r="AD170" s="27"/>
      <c r="AF170" s="36">
        <v>0</v>
      </c>
      <c r="AG170" s="36">
        <v>0</v>
      </c>
      <c r="AH170" s="36">
        <v>0</v>
      </c>
      <c r="AI170" s="36">
        <v>0</v>
      </c>
      <c r="AJ170" s="37">
        <v>3</v>
      </c>
      <c r="AK170" s="38">
        <v>828.29550999999992</v>
      </c>
      <c r="AL170" s="39">
        <v>281</v>
      </c>
      <c r="AM170" s="32">
        <v>838</v>
      </c>
      <c r="AN170" s="39" t="s">
        <v>515</v>
      </c>
      <c r="AO170" s="39" t="s">
        <v>516</v>
      </c>
      <c r="AP170" s="39" t="s">
        <v>517</v>
      </c>
      <c r="AQ170" s="30"/>
      <c r="AR170" s="26"/>
      <c r="AS170" s="1"/>
    </row>
    <row r="171" spans="1:45" ht="15">
      <c r="A171" s="1">
        <v>3</v>
      </c>
      <c r="B171" s="1">
        <v>3</v>
      </c>
      <c r="C171" s="1"/>
      <c r="D171" s="1"/>
      <c r="E171" s="61" t="s">
        <v>518</v>
      </c>
      <c r="F171" s="29" t="s">
        <v>66</v>
      </c>
      <c r="G171" s="29">
        <v>267</v>
      </c>
      <c r="H171" s="27">
        <v>268</v>
      </c>
      <c r="I171" s="27">
        <v>244</v>
      </c>
      <c r="J171" s="27">
        <v>271</v>
      </c>
      <c r="K171" s="27"/>
      <c r="L171" s="27"/>
      <c r="M171" s="32">
        <f t="shared" si="23"/>
        <v>806</v>
      </c>
      <c r="N171" s="32" t="s">
        <v>1330</v>
      </c>
      <c r="O171" s="32" t="s">
        <v>517</v>
      </c>
      <c r="P171" s="32">
        <f t="shared" si="24"/>
        <v>805.98350000000005</v>
      </c>
      <c r="Q171" s="32">
        <f t="shared" si="25"/>
        <v>4</v>
      </c>
      <c r="R171" s="32">
        <f t="shared" ca="1" si="26"/>
        <v>0</v>
      </c>
      <c r="S171" s="33" t="s">
        <v>54</v>
      </c>
      <c r="T171" s="34">
        <f t="shared" si="27"/>
        <v>0</v>
      </c>
      <c r="U171" s="34">
        <f t="shared" ca="1" si="28"/>
        <v>0</v>
      </c>
      <c r="V171" s="34">
        <f>-SUMPRODUCT((S$6:S170=S171)*(X$6:X170=X171))</f>
        <v>0</v>
      </c>
      <c r="W171" s="34">
        <f>-SUMPRODUCT((S$6:S170=S171)*(X$6:X170=X171)*(B$6:B170&lt;&gt;"NS"))</f>
        <v>0</v>
      </c>
      <c r="X171" s="35">
        <f t="shared" si="29"/>
        <v>806.30047000000002</v>
      </c>
      <c r="Y171" s="27">
        <v>271</v>
      </c>
      <c r="Z171" s="27">
        <v>268</v>
      </c>
      <c r="AA171" s="29">
        <v>267</v>
      </c>
      <c r="AB171" s="27">
        <v>244</v>
      </c>
      <c r="AC171" s="27"/>
      <c r="AD171" s="27"/>
      <c r="AF171" s="36">
        <v>0</v>
      </c>
      <c r="AG171" s="36">
        <v>0</v>
      </c>
      <c r="AH171" s="36">
        <v>0</v>
      </c>
      <c r="AI171" s="36">
        <v>0</v>
      </c>
      <c r="AJ171" s="37">
        <v>4</v>
      </c>
      <c r="AK171" s="38">
        <v>806.28481399999987</v>
      </c>
      <c r="AL171" s="39">
        <v>271</v>
      </c>
      <c r="AM171" s="32">
        <v>810</v>
      </c>
      <c r="AN171" s="39"/>
      <c r="AO171" s="39" t="s">
        <v>516</v>
      </c>
      <c r="AP171" s="39" t="s">
        <v>517</v>
      </c>
      <c r="AQ171" s="30"/>
      <c r="AR171" s="26"/>
      <c r="AS171" s="1"/>
    </row>
    <row r="172" spans="1:45" ht="15">
      <c r="A172" s="1">
        <v>4</v>
      </c>
      <c r="B172" s="1">
        <v>4</v>
      </c>
      <c r="C172" s="1"/>
      <c r="D172" s="1"/>
      <c r="E172" s="61" t="s">
        <v>519</v>
      </c>
      <c r="F172" s="29" t="s">
        <v>66</v>
      </c>
      <c r="G172" s="29">
        <v>253</v>
      </c>
      <c r="H172" s="27">
        <v>241</v>
      </c>
      <c r="I172" s="27">
        <v>262</v>
      </c>
      <c r="J172" s="27">
        <v>268</v>
      </c>
      <c r="K172" s="27"/>
      <c r="L172" s="27"/>
      <c r="M172" s="32">
        <f t="shared" si="23"/>
        <v>783</v>
      </c>
      <c r="N172" s="32" t="s">
        <v>1330</v>
      </c>
      <c r="O172" s="32"/>
      <c r="P172" s="32">
        <f t="shared" si="24"/>
        <v>782.98339999999996</v>
      </c>
      <c r="Q172" s="32">
        <f t="shared" si="25"/>
        <v>4</v>
      </c>
      <c r="R172" s="32">
        <f t="shared" ca="1" si="26"/>
        <v>0</v>
      </c>
      <c r="S172" s="33" t="s">
        <v>54</v>
      </c>
      <c r="T172" s="34">
        <f t="shared" si="27"/>
        <v>0</v>
      </c>
      <c r="U172" s="34">
        <f t="shared" ca="1" si="28"/>
        <v>0</v>
      </c>
      <c r="V172" s="34">
        <f>-SUMPRODUCT((S$6:S171=S172)*(X$6:X171=X172))</f>
        <v>0</v>
      </c>
      <c r="W172" s="34">
        <f>-SUMPRODUCT((S$6:S171=S172)*(X$6:X171=X172)*(B$6:B171&lt;&gt;"NS"))</f>
        <v>0</v>
      </c>
      <c r="X172" s="35">
        <f t="shared" si="29"/>
        <v>783.29673000000003</v>
      </c>
      <c r="Y172" s="27">
        <v>268</v>
      </c>
      <c r="Z172" s="27">
        <v>262</v>
      </c>
      <c r="AA172" s="29">
        <v>253</v>
      </c>
      <c r="AB172" s="27">
        <v>241</v>
      </c>
      <c r="AC172" s="27"/>
      <c r="AD172" s="27"/>
      <c r="AF172" s="36">
        <v>0</v>
      </c>
      <c r="AG172" s="36">
        <v>0</v>
      </c>
      <c r="AH172" s="36">
        <v>0</v>
      </c>
      <c r="AI172" s="36">
        <v>0</v>
      </c>
      <c r="AJ172" s="37">
        <v>4</v>
      </c>
      <c r="AK172" s="38">
        <v>783.28097100000002</v>
      </c>
      <c r="AL172" s="39">
        <v>268</v>
      </c>
      <c r="AM172" s="32">
        <v>798</v>
      </c>
      <c r="AN172" s="39"/>
      <c r="AO172" s="39"/>
      <c r="AP172" s="39" t="s">
        <v>517</v>
      </c>
      <c r="AQ172" s="30"/>
      <c r="AR172" s="26"/>
      <c r="AS172" s="1"/>
    </row>
    <row r="173" spans="1:45" ht="15">
      <c r="A173" s="1">
        <v>5</v>
      </c>
      <c r="B173" s="1">
        <v>5</v>
      </c>
      <c r="C173" s="1"/>
      <c r="D173" s="1"/>
      <c r="E173" s="61" t="s">
        <v>119</v>
      </c>
      <c r="F173" s="29" t="s">
        <v>38</v>
      </c>
      <c r="G173" s="29"/>
      <c r="H173" s="27">
        <v>229</v>
      </c>
      <c r="I173" s="27">
        <v>249</v>
      </c>
      <c r="J173" s="27">
        <v>253</v>
      </c>
      <c r="K173" s="27">
        <v>261</v>
      </c>
      <c r="L173" s="27"/>
      <c r="M173" s="32">
        <f t="shared" si="23"/>
        <v>763</v>
      </c>
      <c r="N173" s="32" t="s">
        <v>1330</v>
      </c>
      <c r="O173" s="32"/>
      <c r="P173" s="32">
        <f t="shared" si="24"/>
        <v>762.98329999999999</v>
      </c>
      <c r="Q173" s="32">
        <f t="shared" si="25"/>
        <v>4</v>
      </c>
      <c r="R173" s="32">
        <f t="shared" ca="1" si="26"/>
        <v>0</v>
      </c>
      <c r="S173" s="33" t="s">
        <v>54</v>
      </c>
      <c r="T173" s="34">
        <f t="shared" si="27"/>
        <v>0</v>
      </c>
      <c r="U173" s="34">
        <f t="shared" ca="1" si="28"/>
        <v>261</v>
      </c>
      <c r="V173" s="34">
        <f>-SUMPRODUCT((S$6:S172=S173)*(X$6:X172=X173))</f>
        <v>0</v>
      </c>
      <c r="W173" s="34">
        <f>-SUMPRODUCT((S$6:S172=S173)*(X$6:X172=X173)*(B$6:B172&lt;&gt;"NS"))</f>
        <v>0</v>
      </c>
      <c r="X173" s="35">
        <f t="shared" si="29"/>
        <v>763.28878999999995</v>
      </c>
      <c r="Y173" s="27">
        <v>261</v>
      </c>
      <c r="Z173" s="27">
        <v>253</v>
      </c>
      <c r="AA173" s="27">
        <v>249</v>
      </c>
      <c r="AB173" s="27">
        <v>229</v>
      </c>
      <c r="AC173" s="29"/>
      <c r="AD173" s="27"/>
      <c r="AF173" s="36">
        <v>0</v>
      </c>
      <c r="AG173" s="36">
        <v>0</v>
      </c>
      <c r="AH173" s="36">
        <v>0</v>
      </c>
      <c r="AI173" s="36">
        <v>0</v>
      </c>
      <c r="AJ173" s="37">
        <v>3</v>
      </c>
      <c r="AK173" s="38">
        <v>731.26409000000001</v>
      </c>
      <c r="AL173" s="39">
        <v>253</v>
      </c>
      <c r="AM173" s="32">
        <v>755</v>
      </c>
      <c r="AN173" s="39"/>
      <c r="AO173" s="39"/>
      <c r="AP173" s="39"/>
      <c r="AQ173" s="30"/>
      <c r="AR173" s="26"/>
      <c r="AS173" s="1"/>
    </row>
    <row r="174" spans="1:45" ht="15">
      <c r="A174" s="1">
        <v>6</v>
      </c>
      <c r="B174" s="1">
        <v>6</v>
      </c>
      <c r="C174" s="1"/>
      <c r="D174" s="1"/>
      <c r="E174" s="61" t="s">
        <v>123</v>
      </c>
      <c r="F174" s="29" t="s">
        <v>25</v>
      </c>
      <c r="G174" s="29">
        <v>183</v>
      </c>
      <c r="H174" s="27"/>
      <c r="I174" s="27">
        <v>247</v>
      </c>
      <c r="J174" s="27">
        <v>255</v>
      </c>
      <c r="K174" s="27">
        <v>259</v>
      </c>
      <c r="L174" s="27"/>
      <c r="M174" s="32">
        <f t="shared" si="23"/>
        <v>761</v>
      </c>
      <c r="N174" s="32" t="s">
        <v>1330</v>
      </c>
      <c r="O174" s="32"/>
      <c r="P174" s="32">
        <f t="shared" si="24"/>
        <v>760.98320000000001</v>
      </c>
      <c r="Q174" s="32">
        <f t="shared" si="25"/>
        <v>4</v>
      </c>
      <c r="R174" s="32">
        <f t="shared" ca="1" si="26"/>
        <v>0</v>
      </c>
      <c r="S174" s="33" t="s">
        <v>54</v>
      </c>
      <c r="T174" s="34">
        <f t="shared" si="27"/>
        <v>0</v>
      </c>
      <c r="U174" s="34">
        <f t="shared" ca="1" si="28"/>
        <v>259</v>
      </c>
      <c r="V174" s="34">
        <f>-SUMPRODUCT((S$6:S173=S174)*(X$6:X173=X174))</f>
        <v>0</v>
      </c>
      <c r="W174" s="34">
        <f>-SUMPRODUCT((S$6:S173=S174)*(X$6:X173=X174)*(B$6:B173&lt;&gt;"NS"))</f>
        <v>0</v>
      </c>
      <c r="X174" s="35">
        <f t="shared" si="29"/>
        <v>761.28697</v>
      </c>
      <c r="Y174" s="27">
        <v>259</v>
      </c>
      <c r="Z174" s="27">
        <v>255</v>
      </c>
      <c r="AA174" s="27">
        <v>247</v>
      </c>
      <c r="AB174" s="29">
        <v>183</v>
      </c>
      <c r="AC174" s="27"/>
      <c r="AD174" s="27"/>
      <c r="AF174" s="36">
        <v>0</v>
      </c>
      <c r="AG174" s="36">
        <v>0</v>
      </c>
      <c r="AH174" s="36">
        <v>0</v>
      </c>
      <c r="AI174" s="36">
        <v>0</v>
      </c>
      <c r="AJ174" s="37">
        <v>3</v>
      </c>
      <c r="AK174" s="38">
        <v>685.26533000000006</v>
      </c>
      <c r="AL174" s="39">
        <v>255</v>
      </c>
      <c r="AM174" s="32">
        <v>757</v>
      </c>
      <c r="AN174" s="39"/>
      <c r="AO174" s="39"/>
      <c r="AP174" s="39"/>
      <c r="AQ174" s="30"/>
      <c r="AR174" s="26"/>
      <c r="AS174" s="1"/>
    </row>
    <row r="175" spans="1:45" ht="15">
      <c r="A175" s="1">
        <v>7</v>
      </c>
      <c r="B175" s="1">
        <v>7</v>
      </c>
      <c r="C175" s="1"/>
      <c r="D175" s="1"/>
      <c r="E175" s="61" t="s">
        <v>171</v>
      </c>
      <c r="F175" s="29" t="s">
        <v>76</v>
      </c>
      <c r="G175" s="29"/>
      <c r="H175" s="27"/>
      <c r="I175" s="27">
        <v>194</v>
      </c>
      <c r="J175" s="27">
        <v>230</v>
      </c>
      <c r="K175" s="27">
        <v>232</v>
      </c>
      <c r="L175" s="27"/>
      <c r="M175" s="32">
        <f t="shared" si="23"/>
        <v>656</v>
      </c>
      <c r="N175" s="32" t="s">
        <v>1330</v>
      </c>
      <c r="O175" s="32"/>
      <c r="P175" s="32">
        <f t="shared" si="24"/>
        <v>655.98310000000004</v>
      </c>
      <c r="Q175" s="32">
        <f t="shared" si="25"/>
        <v>3</v>
      </c>
      <c r="R175" s="32">
        <f t="shared" ca="1" si="26"/>
        <v>0</v>
      </c>
      <c r="S175" s="33" t="s">
        <v>54</v>
      </c>
      <c r="T175" s="34">
        <f t="shared" si="27"/>
        <v>0</v>
      </c>
      <c r="U175" s="34">
        <f t="shared" ca="1" si="28"/>
        <v>232</v>
      </c>
      <c r="V175" s="34">
        <f>-SUMPRODUCT((S$6:S174=S175)*(X$6:X174=X175))</f>
        <v>0</v>
      </c>
      <c r="W175" s="34">
        <f>-SUMPRODUCT((S$6:S174=S175)*(X$6:X174=X175)*(B$6:B174&lt;&gt;"NS"))</f>
        <v>0</v>
      </c>
      <c r="X175" s="35">
        <f t="shared" si="29"/>
        <v>656.25693999999999</v>
      </c>
      <c r="Y175" s="27">
        <v>232</v>
      </c>
      <c r="Z175" s="27">
        <v>230</v>
      </c>
      <c r="AA175" s="27">
        <v>194</v>
      </c>
      <c r="AB175" s="29"/>
      <c r="AC175" s="27"/>
      <c r="AD175" s="27"/>
      <c r="AF175" s="36">
        <v>0</v>
      </c>
      <c r="AG175" s="36">
        <v>0</v>
      </c>
      <c r="AH175" s="36">
        <v>0</v>
      </c>
      <c r="AI175" s="36">
        <v>0</v>
      </c>
      <c r="AJ175" s="37">
        <v>2</v>
      </c>
      <c r="AK175" s="38">
        <v>424.23260000000005</v>
      </c>
      <c r="AL175" s="39">
        <v>230</v>
      </c>
      <c r="AM175" s="32">
        <v>654</v>
      </c>
      <c r="AN175" s="39"/>
      <c r="AO175" s="39"/>
      <c r="AP175" s="39"/>
      <c r="AQ175" s="30"/>
      <c r="AR175" s="26"/>
      <c r="AS175" s="1"/>
    </row>
    <row r="176" spans="1:45" ht="15">
      <c r="A176" s="1">
        <v>8</v>
      </c>
      <c r="B176" s="1">
        <v>8</v>
      </c>
      <c r="C176" s="1"/>
      <c r="D176" s="1"/>
      <c r="E176" s="61" t="s">
        <v>138</v>
      </c>
      <c r="F176" s="29" t="s">
        <v>66</v>
      </c>
      <c r="G176" s="29">
        <v>173</v>
      </c>
      <c r="H176" s="27"/>
      <c r="I176" s="27"/>
      <c r="J176" s="27">
        <v>212</v>
      </c>
      <c r="K176" s="27">
        <v>250</v>
      </c>
      <c r="L176" s="27"/>
      <c r="M176" s="32">
        <f t="shared" si="23"/>
        <v>635</v>
      </c>
      <c r="N176" s="32" t="s">
        <v>1330</v>
      </c>
      <c r="O176" s="32"/>
      <c r="P176" s="32">
        <f t="shared" si="24"/>
        <v>634.98299999999995</v>
      </c>
      <c r="Q176" s="32">
        <f t="shared" si="25"/>
        <v>3</v>
      </c>
      <c r="R176" s="32">
        <f t="shared" ca="1" si="26"/>
        <v>0</v>
      </c>
      <c r="S176" s="33" t="s">
        <v>54</v>
      </c>
      <c r="T176" s="34">
        <f t="shared" si="27"/>
        <v>0</v>
      </c>
      <c r="U176" s="34">
        <f t="shared" ca="1" si="28"/>
        <v>250</v>
      </c>
      <c r="V176" s="34">
        <f>-SUMPRODUCT((S$6:S175=S176)*(X$6:X175=X176))</f>
        <v>0</v>
      </c>
      <c r="W176" s="34">
        <f>-SUMPRODUCT((S$6:S175=S176)*(X$6:X175=X176)*(B$6:B175&lt;&gt;"NS"))</f>
        <v>0</v>
      </c>
      <c r="X176" s="35">
        <f t="shared" si="29"/>
        <v>635.27292999999997</v>
      </c>
      <c r="Y176" s="27">
        <v>250</v>
      </c>
      <c r="Z176" s="27">
        <v>212</v>
      </c>
      <c r="AA176" s="29">
        <v>173</v>
      </c>
      <c r="AB176" s="27"/>
      <c r="AC176" s="27"/>
      <c r="AD176" s="27"/>
      <c r="AF176" s="36">
        <v>0</v>
      </c>
      <c r="AG176" s="36">
        <v>0</v>
      </c>
      <c r="AH176" s="36">
        <v>0</v>
      </c>
      <c r="AI176" s="36">
        <v>0</v>
      </c>
      <c r="AJ176" s="37">
        <v>2</v>
      </c>
      <c r="AK176" s="38">
        <v>385.21219999999994</v>
      </c>
      <c r="AL176" s="39">
        <v>212</v>
      </c>
      <c r="AM176" s="32">
        <v>597</v>
      </c>
      <c r="AN176" s="39"/>
      <c r="AO176" s="39"/>
      <c r="AP176" s="39"/>
      <c r="AQ176" s="30"/>
      <c r="AR176" s="26"/>
      <c r="AS176" s="1"/>
    </row>
    <row r="177" spans="1:45" ht="15">
      <c r="A177" s="1">
        <v>9</v>
      </c>
      <c r="B177" s="1">
        <v>9</v>
      </c>
      <c r="C177" s="1"/>
      <c r="D177" s="1"/>
      <c r="E177" s="61" t="s">
        <v>520</v>
      </c>
      <c r="F177" s="29" t="s">
        <v>38</v>
      </c>
      <c r="G177" s="29"/>
      <c r="H177" s="27">
        <v>263</v>
      </c>
      <c r="I177" s="27"/>
      <c r="J177" s="27">
        <v>283</v>
      </c>
      <c r="K177" s="27"/>
      <c r="L177" s="27"/>
      <c r="M177" s="32">
        <f t="shared" si="23"/>
        <v>546</v>
      </c>
      <c r="N177" s="32" t="s">
        <v>1330</v>
      </c>
      <c r="O177" s="32"/>
      <c r="P177" s="32">
        <f t="shared" si="24"/>
        <v>545.98289999999997</v>
      </c>
      <c r="Q177" s="32">
        <f t="shared" si="25"/>
        <v>2</v>
      </c>
      <c r="R177" s="32">
        <f t="shared" ca="1" si="26"/>
        <v>0</v>
      </c>
      <c r="S177" s="33" t="s">
        <v>54</v>
      </c>
      <c r="T177" s="34">
        <f t="shared" si="27"/>
        <v>0</v>
      </c>
      <c r="U177" s="34">
        <f t="shared" ca="1" si="28"/>
        <v>0</v>
      </c>
      <c r="V177" s="34">
        <f>-SUMPRODUCT((S$6:S176=S177)*(X$6:X176=X177))</f>
        <v>0</v>
      </c>
      <c r="W177" s="34">
        <f>-SUMPRODUCT((S$6:S176=S177)*(X$6:X176=X177)*(B$6:B176&lt;&gt;"NS"))</f>
        <v>0</v>
      </c>
      <c r="X177" s="35">
        <f t="shared" si="29"/>
        <v>546.30930000000001</v>
      </c>
      <c r="Y177" s="27">
        <v>283</v>
      </c>
      <c r="Z177" s="27">
        <v>263</v>
      </c>
      <c r="AA177" s="29"/>
      <c r="AB177" s="27"/>
      <c r="AC177" s="27"/>
      <c r="AD177" s="27"/>
      <c r="AF177" s="36" t="s">
        <v>1339</v>
      </c>
      <c r="AG177" s="36">
        <v>0</v>
      </c>
      <c r="AH177" s="36">
        <v>0</v>
      </c>
      <c r="AI177" s="36">
        <v>0</v>
      </c>
      <c r="AJ177" s="37">
        <v>2</v>
      </c>
      <c r="AK177" s="38">
        <v>546.29290000000003</v>
      </c>
      <c r="AL177" s="39">
        <v>283</v>
      </c>
      <c r="AM177" s="32">
        <v>829</v>
      </c>
      <c r="AN177" s="39" t="s">
        <v>515</v>
      </c>
      <c r="AO177" s="39" t="s">
        <v>516</v>
      </c>
      <c r="AP177" s="39" t="s">
        <v>517</v>
      </c>
      <c r="AQ177" s="30"/>
      <c r="AR177" s="26"/>
      <c r="AS177" s="1"/>
    </row>
    <row r="178" spans="1:45" ht="15">
      <c r="A178" s="1">
        <v>10</v>
      </c>
      <c r="B178" s="1">
        <v>10</v>
      </c>
      <c r="C178" s="1"/>
      <c r="D178" s="1"/>
      <c r="E178" s="61" t="s">
        <v>521</v>
      </c>
      <c r="F178" s="29" t="s">
        <v>19</v>
      </c>
      <c r="G178" s="29">
        <v>164</v>
      </c>
      <c r="H178" s="27">
        <v>181</v>
      </c>
      <c r="I178" s="27">
        <v>199</v>
      </c>
      <c r="J178" s="27"/>
      <c r="K178" s="27"/>
      <c r="L178" s="27"/>
      <c r="M178" s="32">
        <f t="shared" si="23"/>
        <v>544</v>
      </c>
      <c r="N178" s="32" t="s">
        <v>1330</v>
      </c>
      <c r="O178" s="32"/>
      <c r="P178" s="32">
        <f t="shared" si="24"/>
        <v>543.9828</v>
      </c>
      <c r="Q178" s="32">
        <f t="shared" si="25"/>
        <v>3</v>
      </c>
      <c r="R178" s="32">
        <f t="shared" ca="1" si="26"/>
        <v>0</v>
      </c>
      <c r="S178" s="33" t="s">
        <v>54</v>
      </c>
      <c r="T178" s="34">
        <f t="shared" si="27"/>
        <v>0</v>
      </c>
      <c r="U178" s="34">
        <f t="shared" ca="1" si="28"/>
        <v>0</v>
      </c>
      <c r="V178" s="34">
        <f>-SUMPRODUCT((S$6:S177=S178)*(X$6:X177=X178))</f>
        <v>0</v>
      </c>
      <c r="W178" s="34">
        <f>-SUMPRODUCT((S$6:S177=S178)*(X$6:X177=X178)*(B$6:B177&lt;&gt;"NS"))</f>
        <v>0</v>
      </c>
      <c r="X178" s="35">
        <f t="shared" si="29"/>
        <v>544.21874000000003</v>
      </c>
      <c r="Y178" s="27">
        <v>199</v>
      </c>
      <c r="Z178" s="27">
        <v>181</v>
      </c>
      <c r="AA178" s="29">
        <v>164</v>
      </c>
      <c r="AB178" s="27"/>
      <c r="AC178" s="27"/>
      <c r="AD178" s="27"/>
      <c r="AF178" s="36">
        <v>0</v>
      </c>
      <c r="AG178" s="36">
        <v>0</v>
      </c>
      <c r="AH178" s="36">
        <v>0</v>
      </c>
      <c r="AI178" s="36">
        <v>0</v>
      </c>
      <c r="AJ178" s="37">
        <v>3</v>
      </c>
      <c r="AK178" s="38">
        <v>544.20223999999996</v>
      </c>
      <c r="AL178" s="39">
        <v>199</v>
      </c>
      <c r="AM178" s="32">
        <v>579</v>
      </c>
      <c r="AN178" s="39"/>
      <c r="AO178" s="39"/>
      <c r="AP178" s="39"/>
      <c r="AQ178" s="30"/>
      <c r="AR178" s="26"/>
      <c r="AS178" s="1"/>
    </row>
    <row r="179" spans="1:45" ht="15">
      <c r="A179" s="1">
        <v>11</v>
      </c>
      <c r="B179" s="1">
        <v>11</v>
      </c>
      <c r="C179" s="1"/>
      <c r="D179" s="1"/>
      <c r="E179" s="61" t="s">
        <v>522</v>
      </c>
      <c r="F179" s="29" t="s">
        <v>47</v>
      </c>
      <c r="G179" s="29">
        <v>250</v>
      </c>
      <c r="H179" s="27">
        <v>237</v>
      </c>
      <c r="I179" s="27"/>
      <c r="J179" s="27"/>
      <c r="K179" s="27"/>
      <c r="L179" s="27"/>
      <c r="M179" s="32">
        <f t="shared" si="23"/>
        <v>487</v>
      </c>
      <c r="N179" s="32" t="s">
        <v>1330</v>
      </c>
      <c r="O179" s="32"/>
      <c r="P179" s="32">
        <f t="shared" si="24"/>
        <v>486.98270000000002</v>
      </c>
      <c r="Q179" s="32">
        <f t="shared" si="25"/>
        <v>2</v>
      </c>
      <c r="R179" s="32">
        <f t="shared" ca="1" si="26"/>
        <v>0</v>
      </c>
      <c r="S179" s="33" t="s">
        <v>54</v>
      </c>
      <c r="T179" s="34">
        <f t="shared" si="27"/>
        <v>0</v>
      </c>
      <c r="U179" s="34">
        <f t="shared" ca="1" si="28"/>
        <v>0</v>
      </c>
      <c r="V179" s="34">
        <f>-SUMPRODUCT((S$6:S178=S179)*(X$6:X178=X179))</f>
        <v>0</v>
      </c>
      <c r="W179" s="34">
        <f>-SUMPRODUCT((S$6:S178=S179)*(X$6:X178=X179)*(B$6:B178&lt;&gt;"NS"))</f>
        <v>0</v>
      </c>
      <c r="X179" s="35">
        <f t="shared" si="29"/>
        <v>487.27370000000002</v>
      </c>
      <c r="Y179" s="29">
        <v>250</v>
      </c>
      <c r="Z179" s="27">
        <v>237</v>
      </c>
      <c r="AA179" s="27"/>
      <c r="AB179" s="27"/>
      <c r="AC179" s="27"/>
      <c r="AD179" s="27"/>
      <c r="AF179" s="36">
        <v>0</v>
      </c>
      <c r="AG179" s="36">
        <v>0</v>
      </c>
      <c r="AH179" s="36">
        <v>0</v>
      </c>
      <c r="AI179" s="36">
        <v>0</v>
      </c>
      <c r="AJ179" s="37">
        <v>2</v>
      </c>
      <c r="AK179" s="38">
        <v>487.25710000000004</v>
      </c>
      <c r="AL179" s="39">
        <v>250</v>
      </c>
      <c r="AM179" s="32">
        <v>737</v>
      </c>
      <c r="AN179" s="39"/>
      <c r="AO179" s="39"/>
      <c r="AP179" s="39"/>
      <c r="AQ179" s="30"/>
      <c r="AR179" s="26"/>
      <c r="AS179" s="1"/>
    </row>
    <row r="180" spans="1:45" ht="15">
      <c r="A180" s="1">
        <v>12</v>
      </c>
      <c r="B180" s="1">
        <v>12</v>
      </c>
      <c r="C180" s="1"/>
      <c r="D180" s="1"/>
      <c r="E180" s="61" t="s">
        <v>523</v>
      </c>
      <c r="F180" s="29" t="s">
        <v>118</v>
      </c>
      <c r="G180" s="29">
        <v>125</v>
      </c>
      <c r="H180" s="27">
        <v>131</v>
      </c>
      <c r="I180" s="27">
        <v>150</v>
      </c>
      <c r="J180" s="27">
        <v>171</v>
      </c>
      <c r="K180" s="27"/>
      <c r="L180" s="27"/>
      <c r="M180" s="32">
        <f t="shared" si="23"/>
        <v>452</v>
      </c>
      <c r="N180" s="32" t="s">
        <v>1330</v>
      </c>
      <c r="O180" s="32"/>
      <c r="P180" s="32">
        <f t="shared" si="24"/>
        <v>451.98259999999999</v>
      </c>
      <c r="Q180" s="32">
        <f t="shared" si="25"/>
        <v>4</v>
      </c>
      <c r="R180" s="32">
        <f t="shared" ca="1" si="26"/>
        <v>0</v>
      </c>
      <c r="S180" s="33" t="s">
        <v>54</v>
      </c>
      <c r="T180" s="34">
        <f t="shared" si="27"/>
        <v>0</v>
      </c>
      <c r="U180" s="34">
        <f t="shared" ca="1" si="28"/>
        <v>0</v>
      </c>
      <c r="V180" s="34">
        <f>-SUMPRODUCT((S$6:S179=S180)*(X$6:X179=X180))</f>
        <v>0</v>
      </c>
      <c r="W180" s="34">
        <f>-SUMPRODUCT((S$6:S179=S180)*(X$6:X179=X180)*(B$6:B179&lt;&gt;"NS"))</f>
        <v>0</v>
      </c>
      <c r="X180" s="35">
        <f t="shared" si="29"/>
        <v>452.18731000000002</v>
      </c>
      <c r="Y180" s="27">
        <v>171</v>
      </c>
      <c r="Z180" s="27">
        <v>150</v>
      </c>
      <c r="AA180" s="27">
        <v>131</v>
      </c>
      <c r="AB180" s="29">
        <v>125</v>
      </c>
      <c r="AC180" s="27"/>
      <c r="AD180" s="27"/>
      <c r="AF180" s="36">
        <v>0</v>
      </c>
      <c r="AG180" s="36">
        <v>0</v>
      </c>
      <c r="AH180" s="36">
        <v>0</v>
      </c>
      <c r="AI180" s="36">
        <v>0</v>
      </c>
      <c r="AJ180" s="37">
        <v>4</v>
      </c>
      <c r="AK180" s="38">
        <v>452.17073499999998</v>
      </c>
      <c r="AL180" s="39">
        <v>171</v>
      </c>
      <c r="AM180" s="32">
        <v>492</v>
      </c>
      <c r="AN180" s="39"/>
      <c r="AO180" s="39"/>
      <c r="AP180" s="39"/>
      <c r="AQ180" s="30"/>
      <c r="AR180" s="26"/>
      <c r="AS180" s="1"/>
    </row>
    <row r="181" spans="1:45" ht="15">
      <c r="A181" s="1">
        <v>13</v>
      </c>
      <c r="B181" s="1">
        <v>13</v>
      </c>
      <c r="C181" s="1"/>
      <c r="D181" s="1"/>
      <c r="E181" s="61" t="s">
        <v>524</v>
      </c>
      <c r="F181" s="29" t="s">
        <v>38</v>
      </c>
      <c r="G181" s="29">
        <v>159</v>
      </c>
      <c r="H181" s="27"/>
      <c r="I181" s="27"/>
      <c r="J181" s="27">
        <v>241</v>
      </c>
      <c r="K181" s="27"/>
      <c r="L181" s="27"/>
      <c r="M181" s="32">
        <f t="shared" si="23"/>
        <v>400</v>
      </c>
      <c r="N181" s="32" t="s">
        <v>1330</v>
      </c>
      <c r="O181" s="32"/>
      <c r="P181" s="32">
        <f t="shared" si="24"/>
        <v>399.98250000000002</v>
      </c>
      <c r="Q181" s="32">
        <f t="shared" si="25"/>
        <v>2</v>
      </c>
      <c r="R181" s="32">
        <f t="shared" ca="1" si="26"/>
        <v>0</v>
      </c>
      <c r="S181" s="33" t="s">
        <v>54</v>
      </c>
      <c r="T181" s="34">
        <f t="shared" si="27"/>
        <v>0</v>
      </c>
      <c r="U181" s="34">
        <f t="shared" ca="1" si="28"/>
        <v>0</v>
      </c>
      <c r="V181" s="34">
        <f>-SUMPRODUCT((S$6:S180=S181)*(X$6:X180=X181))</f>
        <v>0</v>
      </c>
      <c r="W181" s="34">
        <f>-SUMPRODUCT((S$6:S180=S181)*(X$6:X180=X181)*(B$6:B180&lt;&gt;"NS"))</f>
        <v>0</v>
      </c>
      <c r="X181" s="35">
        <f t="shared" si="29"/>
        <v>400.25689999999997</v>
      </c>
      <c r="Y181" s="27">
        <v>241</v>
      </c>
      <c r="Z181" s="29">
        <v>159</v>
      </c>
      <c r="AA181" s="27"/>
      <c r="AB181" s="27"/>
      <c r="AC181" s="27"/>
      <c r="AD181" s="27"/>
      <c r="AF181" s="36">
        <v>0</v>
      </c>
      <c r="AG181" s="36">
        <v>0</v>
      </c>
      <c r="AH181" s="36">
        <v>0</v>
      </c>
      <c r="AI181" s="36">
        <v>0</v>
      </c>
      <c r="AJ181" s="37">
        <v>2</v>
      </c>
      <c r="AK181" s="38">
        <v>400.23999999999995</v>
      </c>
      <c r="AL181" s="39">
        <v>241</v>
      </c>
      <c r="AM181" s="32">
        <v>641</v>
      </c>
      <c r="AN181" s="39"/>
      <c r="AO181" s="39"/>
      <c r="AP181" s="39"/>
      <c r="AQ181" s="30"/>
      <c r="AR181" s="26"/>
      <c r="AS181" s="1"/>
    </row>
    <row r="182" spans="1:45" ht="15">
      <c r="A182" s="1">
        <v>14</v>
      </c>
      <c r="B182" s="1">
        <v>14</v>
      </c>
      <c r="C182" s="1"/>
      <c r="D182" s="1"/>
      <c r="E182" s="61" t="s">
        <v>525</v>
      </c>
      <c r="F182" s="29" t="s">
        <v>66</v>
      </c>
      <c r="G182" s="29">
        <v>169</v>
      </c>
      <c r="H182" s="27"/>
      <c r="I182" s="27"/>
      <c r="J182" s="27">
        <v>228</v>
      </c>
      <c r="K182" s="27"/>
      <c r="L182" s="27"/>
      <c r="M182" s="32">
        <f t="shared" si="23"/>
        <v>397</v>
      </c>
      <c r="N182" s="32" t="s">
        <v>1330</v>
      </c>
      <c r="O182" s="32"/>
      <c r="P182" s="32">
        <f t="shared" si="24"/>
        <v>396.98239999999998</v>
      </c>
      <c r="Q182" s="32">
        <f t="shared" si="25"/>
        <v>2</v>
      </c>
      <c r="R182" s="32">
        <f t="shared" ca="1" si="26"/>
        <v>0</v>
      </c>
      <c r="S182" s="33" t="s">
        <v>54</v>
      </c>
      <c r="T182" s="34">
        <f t="shared" si="27"/>
        <v>0</v>
      </c>
      <c r="U182" s="34">
        <f t="shared" ca="1" si="28"/>
        <v>0</v>
      </c>
      <c r="V182" s="34">
        <f>-SUMPRODUCT((S$6:S181=S182)*(X$6:X181=X182))</f>
        <v>0</v>
      </c>
      <c r="W182" s="34">
        <f>-SUMPRODUCT((S$6:S181=S182)*(X$6:X181=X182)*(B$6:B181&lt;&gt;"NS"))</f>
        <v>0</v>
      </c>
      <c r="X182" s="35">
        <f t="shared" si="29"/>
        <v>397.24489999999997</v>
      </c>
      <c r="Y182" s="27">
        <v>228</v>
      </c>
      <c r="Z182" s="29">
        <v>169</v>
      </c>
      <c r="AA182" s="27"/>
      <c r="AB182" s="27"/>
      <c r="AC182" s="27"/>
      <c r="AD182" s="27"/>
      <c r="AF182" s="36">
        <v>0</v>
      </c>
      <c r="AG182" s="36">
        <v>0</v>
      </c>
      <c r="AH182" s="36">
        <v>0</v>
      </c>
      <c r="AI182" s="36">
        <v>0</v>
      </c>
      <c r="AJ182" s="37">
        <v>2</v>
      </c>
      <c r="AK182" s="38">
        <v>397.22790000000003</v>
      </c>
      <c r="AL182" s="39">
        <v>228</v>
      </c>
      <c r="AM182" s="32">
        <v>625</v>
      </c>
      <c r="AN182" s="39"/>
      <c r="AO182" s="39"/>
      <c r="AP182" s="39"/>
      <c r="AQ182" s="30"/>
      <c r="AR182" s="26"/>
      <c r="AS182" s="1"/>
    </row>
    <row r="183" spans="1:45" ht="15">
      <c r="A183" s="1">
        <v>15</v>
      </c>
      <c r="B183" s="1">
        <v>15</v>
      </c>
      <c r="C183" s="1"/>
      <c r="D183" s="1"/>
      <c r="E183" s="61" t="s">
        <v>526</v>
      </c>
      <c r="F183" s="29" t="s">
        <v>53</v>
      </c>
      <c r="G183" s="29">
        <v>108</v>
      </c>
      <c r="H183" s="27">
        <v>111</v>
      </c>
      <c r="I183" s="27">
        <v>157</v>
      </c>
      <c r="J183" s="27"/>
      <c r="K183" s="27"/>
      <c r="L183" s="27"/>
      <c r="M183" s="32">
        <f t="shared" si="23"/>
        <v>376</v>
      </c>
      <c r="N183" s="32" t="s">
        <v>1330</v>
      </c>
      <c r="O183" s="32"/>
      <c r="P183" s="32">
        <f t="shared" si="24"/>
        <v>375.98230000000001</v>
      </c>
      <c r="Q183" s="32">
        <f t="shared" si="25"/>
        <v>3</v>
      </c>
      <c r="R183" s="32">
        <f t="shared" ca="1" si="26"/>
        <v>0</v>
      </c>
      <c r="S183" s="33" t="s">
        <v>54</v>
      </c>
      <c r="T183" s="34">
        <f t="shared" si="27"/>
        <v>0</v>
      </c>
      <c r="U183" s="34">
        <f t="shared" ca="1" si="28"/>
        <v>0</v>
      </c>
      <c r="V183" s="34">
        <f>-SUMPRODUCT((S$6:S182=S183)*(X$6:X182=X183))</f>
        <v>0</v>
      </c>
      <c r="W183" s="34">
        <f>-SUMPRODUCT((S$6:S182=S183)*(X$6:X182=X183)*(B$6:B182&lt;&gt;"NS"))</f>
        <v>0</v>
      </c>
      <c r="X183" s="35">
        <f t="shared" si="29"/>
        <v>376.16917999999998</v>
      </c>
      <c r="Y183" s="27">
        <v>157</v>
      </c>
      <c r="Z183" s="27">
        <v>111</v>
      </c>
      <c r="AA183" s="29">
        <v>108</v>
      </c>
      <c r="AB183" s="27"/>
      <c r="AC183" s="27"/>
      <c r="AD183" s="27"/>
      <c r="AF183" s="36">
        <v>0</v>
      </c>
      <c r="AG183" s="36">
        <v>0</v>
      </c>
      <c r="AH183" s="36">
        <v>0</v>
      </c>
      <c r="AI183" s="36">
        <v>0</v>
      </c>
      <c r="AJ183" s="37">
        <v>3</v>
      </c>
      <c r="AK183" s="38">
        <v>376.15197999999998</v>
      </c>
      <c r="AL183" s="39">
        <v>157</v>
      </c>
      <c r="AM183" s="32">
        <v>425</v>
      </c>
      <c r="AN183" s="39"/>
      <c r="AO183" s="39"/>
      <c r="AP183" s="39"/>
      <c r="AQ183" s="30"/>
      <c r="AR183" s="26"/>
      <c r="AS183" s="1"/>
    </row>
    <row r="184" spans="1:45" ht="15">
      <c r="A184" s="1">
        <v>16</v>
      </c>
      <c r="B184" s="1">
        <v>16</v>
      </c>
      <c r="C184" s="1"/>
      <c r="D184" s="1"/>
      <c r="E184" s="61" t="s">
        <v>527</v>
      </c>
      <c r="F184" s="29" t="s">
        <v>93</v>
      </c>
      <c r="G184" s="29">
        <v>94</v>
      </c>
      <c r="H184" s="27">
        <v>105</v>
      </c>
      <c r="I184" s="27">
        <v>128</v>
      </c>
      <c r="J184" s="27">
        <v>143</v>
      </c>
      <c r="K184" s="27"/>
      <c r="L184" s="27"/>
      <c r="M184" s="32">
        <f t="shared" si="23"/>
        <v>376</v>
      </c>
      <c r="N184" s="32" t="s">
        <v>1330</v>
      </c>
      <c r="O184" s="32"/>
      <c r="P184" s="32">
        <f t="shared" si="24"/>
        <v>375.98219999999998</v>
      </c>
      <c r="Q184" s="32">
        <f t="shared" si="25"/>
        <v>4</v>
      </c>
      <c r="R184" s="32">
        <f t="shared" ca="1" si="26"/>
        <v>0</v>
      </c>
      <c r="S184" s="33" t="s">
        <v>54</v>
      </c>
      <c r="T184" s="34">
        <f t="shared" si="27"/>
        <v>0</v>
      </c>
      <c r="U184" s="34">
        <f t="shared" ca="1" si="28"/>
        <v>0</v>
      </c>
      <c r="V184" s="34">
        <f>-SUMPRODUCT((S$6:S183=S184)*(X$6:X183=X184))</f>
        <v>0</v>
      </c>
      <c r="W184" s="34">
        <f>-SUMPRODUCT((S$6:S183=S184)*(X$6:X183=X184)*(B$6:B183&lt;&gt;"NS"))</f>
        <v>0</v>
      </c>
      <c r="X184" s="35">
        <f t="shared" si="29"/>
        <v>376.15685000000002</v>
      </c>
      <c r="Y184" s="27">
        <v>143</v>
      </c>
      <c r="Z184" s="27">
        <v>128</v>
      </c>
      <c r="AA184" s="27">
        <v>105</v>
      </c>
      <c r="AB184" s="29">
        <v>94</v>
      </c>
      <c r="AC184" s="27"/>
      <c r="AD184" s="27"/>
      <c r="AF184" s="36">
        <v>0</v>
      </c>
      <c r="AG184" s="36">
        <v>0</v>
      </c>
      <c r="AH184" s="36">
        <v>0</v>
      </c>
      <c r="AI184" s="36">
        <v>0</v>
      </c>
      <c r="AJ184" s="37">
        <v>4</v>
      </c>
      <c r="AK184" s="38">
        <v>376.13964400000003</v>
      </c>
      <c r="AL184" s="39">
        <v>143</v>
      </c>
      <c r="AM184" s="32">
        <v>414</v>
      </c>
      <c r="AN184" s="39"/>
      <c r="AO184" s="39"/>
      <c r="AP184" s="39"/>
      <c r="AQ184" s="30"/>
      <c r="AR184" s="26"/>
      <c r="AS184" s="1"/>
    </row>
    <row r="185" spans="1:45" ht="15">
      <c r="A185" s="1">
        <v>17</v>
      </c>
      <c r="B185" s="1">
        <v>17</v>
      </c>
      <c r="C185" s="1"/>
      <c r="D185" s="1"/>
      <c r="E185" s="61" t="s">
        <v>528</v>
      </c>
      <c r="F185" s="29" t="s">
        <v>50</v>
      </c>
      <c r="G185" s="29"/>
      <c r="H185" s="27">
        <v>145</v>
      </c>
      <c r="I185" s="27"/>
      <c r="J185" s="27">
        <v>222</v>
      </c>
      <c r="K185" s="27"/>
      <c r="L185" s="27"/>
      <c r="M185" s="32">
        <f t="shared" si="23"/>
        <v>367</v>
      </c>
      <c r="N185" s="32" t="s">
        <v>1330</v>
      </c>
      <c r="O185" s="32"/>
      <c r="P185" s="32">
        <f t="shared" si="24"/>
        <v>366.9821</v>
      </c>
      <c r="Q185" s="32">
        <f t="shared" si="25"/>
        <v>2</v>
      </c>
      <c r="R185" s="32">
        <f t="shared" ca="1" si="26"/>
        <v>0</v>
      </c>
      <c r="S185" s="33" t="s">
        <v>54</v>
      </c>
      <c r="T185" s="34">
        <f t="shared" si="27"/>
        <v>0</v>
      </c>
      <c r="U185" s="34">
        <f t="shared" ca="1" si="28"/>
        <v>0</v>
      </c>
      <c r="V185" s="34">
        <f>-SUMPRODUCT((S$6:S184=S185)*(X$6:X184=X185))</f>
        <v>0</v>
      </c>
      <c r="W185" s="34">
        <f>-SUMPRODUCT((S$6:S184=S185)*(X$6:X184=X185)*(B$6:B184&lt;&gt;"NS"))</f>
        <v>0</v>
      </c>
      <c r="X185" s="35">
        <f t="shared" si="29"/>
        <v>367.23649999999998</v>
      </c>
      <c r="Y185" s="27">
        <v>222</v>
      </c>
      <c r="Z185" s="27">
        <v>145</v>
      </c>
      <c r="AA185" s="29"/>
      <c r="AB185" s="27"/>
      <c r="AC185" s="27"/>
      <c r="AD185" s="27"/>
      <c r="AF185" s="36">
        <v>0</v>
      </c>
      <c r="AG185" s="36">
        <v>0</v>
      </c>
      <c r="AH185" s="36">
        <v>0</v>
      </c>
      <c r="AI185" s="36">
        <v>0</v>
      </c>
      <c r="AJ185" s="37">
        <v>2</v>
      </c>
      <c r="AK185" s="38">
        <v>367.21909999999997</v>
      </c>
      <c r="AL185" s="39">
        <v>222</v>
      </c>
      <c r="AM185" s="32">
        <v>589</v>
      </c>
      <c r="AN185" s="39"/>
      <c r="AO185" s="39"/>
      <c r="AP185" s="39"/>
      <c r="AQ185" s="30"/>
      <c r="AR185" s="26"/>
      <c r="AS185" s="1"/>
    </row>
    <row r="186" spans="1:45" ht="15">
      <c r="A186" s="1">
        <v>18</v>
      </c>
      <c r="B186" s="1">
        <v>18</v>
      </c>
      <c r="C186" s="1"/>
      <c r="D186" s="1"/>
      <c r="E186" s="61" t="s">
        <v>529</v>
      </c>
      <c r="F186" s="29" t="s">
        <v>50</v>
      </c>
      <c r="G186" s="29"/>
      <c r="H186" s="27">
        <v>175</v>
      </c>
      <c r="I186" s="27"/>
      <c r="J186" s="27">
        <v>192</v>
      </c>
      <c r="K186" s="27"/>
      <c r="L186" s="27"/>
      <c r="M186" s="32">
        <f t="shared" si="23"/>
        <v>367</v>
      </c>
      <c r="N186" s="32" t="s">
        <v>1330</v>
      </c>
      <c r="O186" s="32"/>
      <c r="P186" s="32">
        <f t="shared" si="24"/>
        <v>366.98200000000003</v>
      </c>
      <c r="Q186" s="32">
        <f t="shared" si="25"/>
        <v>2</v>
      </c>
      <c r="R186" s="32">
        <f t="shared" ca="1" si="26"/>
        <v>0</v>
      </c>
      <c r="S186" s="33" t="s">
        <v>54</v>
      </c>
      <c r="T186" s="34">
        <f t="shared" si="27"/>
        <v>0</v>
      </c>
      <c r="U186" s="34">
        <f t="shared" ca="1" si="28"/>
        <v>0</v>
      </c>
      <c r="V186" s="34">
        <f>-SUMPRODUCT((S$6:S185=S186)*(X$6:X185=X186))</f>
        <v>0</v>
      </c>
      <c r="W186" s="34">
        <f>-SUMPRODUCT((S$6:S185=S186)*(X$6:X185=X186)*(B$6:B185&lt;&gt;"NS"))</f>
        <v>0</v>
      </c>
      <c r="X186" s="35">
        <f t="shared" si="29"/>
        <v>367.20949999999999</v>
      </c>
      <c r="Y186" s="27">
        <v>192</v>
      </c>
      <c r="Z186" s="27">
        <v>175</v>
      </c>
      <c r="AA186" s="29"/>
      <c r="AB186" s="27"/>
      <c r="AC186" s="27"/>
      <c r="AD186" s="27"/>
      <c r="AF186" s="36">
        <v>0</v>
      </c>
      <c r="AG186" s="36">
        <v>0</v>
      </c>
      <c r="AH186" s="36">
        <v>0</v>
      </c>
      <c r="AI186" s="36">
        <v>0</v>
      </c>
      <c r="AJ186" s="37">
        <v>2</v>
      </c>
      <c r="AK186" s="38">
        <v>367.19200000000001</v>
      </c>
      <c r="AL186" s="39">
        <v>192</v>
      </c>
      <c r="AM186" s="32">
        <v>559</v>
      </c>
      <c r="AN186" s="39"/>
      <c r="AO186" s="39"/>
      <c r="AP186" s="39"/>
      <c r="AQ186" s="30"/>
      <c r="AR186" s="26"/>
      <c r="AS186" s="1"/>
    </row>
    <row r="187" spans="1:45" ht="15">
      <c r="A187" s="1">
        <v>19</v>
      </c>
      <c r="B187" s="1">
        <v>19</v>
      </c>
      <c r="C187" s="1"/>
      <c r="D187" s="1"/>
      <c r="E187" s="61" t="s">
        <v>530</v>
      </c>
      <c r="F187" s="29" t="s">
        <v>485</v>
      </c>
      <c r="G187" s="29">
        <v>53</v>
      </c>
      <c r="H187" s="27">
        <v>82</v>
      </c>
      <c r="I187" s="27">
        <v>120</v>
      </c>
      <c r="J187" s="27">
        <v>146</v>
      </c>
      <c r="K187" s="27"/>
      <c r="L187" s="27"/>
      <c r="M187" s="32">
        <f t="shared" si="23"/>
        <v>348</v>
      </c>
      <c r="N187" s="32" t="s">
        <v>1330</v>
      </c>
      <c r="O187" s="32"/>
      <c r="P187" s="32">
        <f t="shared" si="24"/>
        <v>347.9819</v>
      </c>
      <c r="Q187" s="32">
        <f t="shared" si="25"/>
        <v>4</v>
      </c>
      <c r="R187" s="32">
        <f t="shared" ca="1" si="26"/>
        <v>0</v>
      </c>
      <c r="S187" s="33" t="s">
        <v>54</v>
      </c>
      <c r="T187" s="34">
        <f t="shared" si="27"/>
        <v>0</v>
      </c>
      <c r="U187" s="34">
        <f t="shared" ca="1" si="28"/>
        <v>0</v>
      </c>
      <c r="V187" s="34">
        <f>-SUMPRODUCT((S$6:S186=S187)*(X$6:X186=X187))</f>
        <v>0</v>
      </c>
      <c r="W187" s="34">
        <f>-SUMPRODUCT((S$6:S186=S187)*(X$6:X186=X187)*(B$6:B186&lt;&gt;"NS"))</f>
        <v>0</v>
      </c>
      <c r="X187" s="35">
        <f t="shared" si="29"/>
        <v>348.15881999999999</v>
      </c>
      <c r="Y187" s="27">
        <v>146</v>
      </c>
      <c r="Z187" s="27">
        <v>120</v>
      </c>
      <c r="AA187" s="27">
        <v>82</v>
      </c>
      <c r="AB187" s="29">
        <v>53</v>
      </c>
      <c r="AC187" s="27"/>
      <c r="AD187" s="27"/>
      <c r="AF187" s="36">
        <v>0</v>
      </c>
      <c r="AG187" s="36">
        <v>0</v>
      </c>
      <c r="AH187" s="36">
        <v>0</v>
      </c>
      <c r="AI187" s="36">
        <v>0</v>
      </c>
      <c r="AJ187" s="37">
        <v>4</v>
      </c>
      <c r="AK187" s="38">
        <v>348.14127299999996</v>
      </c>
      <c r="AL187" s="39">
        <v>146</v>
      </c>
      <c r="AM187" s="32">
        <v>412</v>
      </c>
      <c r="AN187" s="39"/>
      <c r="AO187" s="39"/>
      <c r="AP187" s="39"/>
      <c r="AQ187" s="30"/>
      <c r="AR187" s="26"/>
      <c r="AS187" s="1"/>
    </row>
    <row r="188" spans="1:45" ht="15">
      <c r="A188" s="1">
        <v>20</v>
      </c>
      <c r="B188" s="1">
        <v>20</v>
      </c>
      <c r="C188" s="1"/>
      <c r="D188" s="1"/>
      <c r="E188" s="61" t="s">
        <v>530</v>
      </c>
      <c r="F188" s="29" t="s">
        <v>485</v>
      </c>
      <c r="G188" s="29"/>
      <c r="H188" s="27">
        <v>82</v>
      </c>
      <c r="I188" s="27">
        <v>120</v>
      </c>
      <c r="J188" s="27">
        <v>146</v>
      </c>
      <c r="K188" s="27"/>
      <c r="L188" s="27"/>
      <c r="M188" s="32">
        <f t="shared" si="23"/>
        <v>348</v>
      </c>
      <c r="N188" s="32" t="s">
        <v>1330</v>
      </c>
      <c r="O188" s="32"/>
      <c r="P188" s="32">
        <f t="shared" si="24"/>
        <v>347.98180000000002</v>
      </c>
      <c r="Q188" s="32">
        <f t="shared" si="25"/>
        <v>3</v>
      </c>
      <c r="R188" s="32">
        <f t="shared" ca="1" si="26"/>
        <v>0</v>
      </c>
      <c r="S188" s="33" t="s">
        <v>54</v>
      </c>
      <c r="T188" s="34">
        <f t="shared" si="27"/>
        <v>0</v>
      </c>
      <c r="U188" s="34">
        <f t="shared" ca="1" si="28"/>
        <v>0</v>
      </c>
      <c r="V188" s="34">
        <f>-SUMPRODUCT((S$6:S187=S188)*(X$6:X187=X188))</f>
        <v>-1</v>
      </c>
      <c r="W188" s="34">
        <f>-SUMPRODUCT((S$6:S187=S188)*(X$6:X187=X188)*(B$6:B187&lt;&gt;"NS"))</f>
        <v>-1</v>
      </c>
      <c r="X188" s="35">
        <f t="shared" si="29"/>
        <v>348.15881999999999</v>
      </c>
      <c r="Y188" s="27">
        <v>146</v>
      </c>
      <c r="Z188" s="27">
        <v>120</v>
      </c>
      <c r="AA188" s="27">
        <v>82</v>
      </c>
      <c r="AB188" s="29"/>
      <c r="AC188" s="27"/>
      <c r="AD188" s="27"/>
      <c r="AF188" s="36">
        <v>0</v>
      </c>
      <c r="AG188" s="36">
        <v>0</v>
      </c>
      <c r="AH188" s="36">
        <v>0</v>
      </c>
      <c r="AI188" s="36">
        <v>0</v>
      </c>
      <c r="AJ188" s="37">
        <v>3</v>
      </c>
      <c r="AK188" s="38">
        <v>348.14112</v>
      </c>
      <c r="AL188" s="39">
        <v>146</v>
      </c>
      <c r="AM188" s="32">
        <v>412</v>
      </c>
      <c r="AN188" s="39"/>
      <c r="AO188" s="39"/>
      <c r="AP188" s="39"/>
      <c r="AQ188" s="30"/>
      <c r="AR188" s="26"/>
      <c r="AS188" s="1"/>
    </row>
    <row r="189" spans="1:45" ht="15">
      <c r="A189" s="1">
        <v>21</v>
      </c>
      <c r="B189" s="1">
        <v>21</v>
      </c>
      <c r="C189" s="1"/>
      <c r="D189" s="1"/>
      <c r="E189" s="61" t="s">
        <v>237</v>
      </c>
      <c r="F189" s="29" t="s">
        <v>118</v>
      </c>
      <c r="G189" s="29"/>
      <c r="H189" s="27"/>
      <c r="I189" s="27">
        <v>141</v>
      </c>
      <c r="J189" s="27"/>
      <c r="K189" s="27">
        <v>200</v>
      </c>
      <c r="L189" s="27"/>
      <c r="M189" s="32">
        <f t="shared" si="23"/>
        <v>341</v>
      </c>
      <c r="N189" s="32" t="s">
        <v>1330</v>
      </c>
      <c r="O189" s="32"/>
      <c r="P189" s="32">
        <f t="shared" si="24"/>
        <v>340.98169999999999</v>
      </c>
      <c r="Q189" s="32">
        <f t="shared" si="25"/>
        <v>2</v>
      </c>
      <c r="R189" s="32">
        <f t="shared" ca="1" si="26"/>
        <v>0</v>
      </c>
      <c r="S189" s="33" t="s">
        <v>54</v>
      </c>
      <c r="T189" s="34">
        <f t="shared" si="27"/>
        <v>0</v>
      </c>
      <c r="U189" s="34">
        <f t="shared" ca="1" si="28"/>
        <v>200</v>
      </c>
      <c r="V189" s="34">
        <f>-SUMPRODUCT((S$6:S188=S189)*(X$6:X188=X189))</f>
        <v>0</v>
      </c>
      <c r="W189" s="34">
        <f>-SUMPRODUCT((S$6:S188=S189)*(X$6:X188=X189)*(B$6:B188&lt;&gt;"NS"))</f>
        <v>0</v>
      </c>
      <c r="X189" s="35">
        <f t="shared" si="29"/>
        <v>341.21409999999997</v>
      </c>
      <c r="Y189" s="27">
        <v>200</v>
      </c>
      <c r="Z189" s="27">
        <v>141</v>
      </c>
      <c r="AA189" s="29"/>
      <c r="AB189" s="27"/>
      <c r="AC189" s="27"/>
      <c r="AD189" s="27"/>
      <c r="AF189" s="36">
        <v>0</v>
      </c>
      <c r="AG189" s="36">
        <v>0</v>
      </c>
      <c r="AH189" s="36">
        <v>0</v>
      </c>
      <c r="AI189" s="36">
        <v>0</v>
      </c>
      <c r="AJ189" s="37">
        <v>1</v>
      </c>
      <c r="AK189" s="38">
        <v>141.12119999999999</v>
      </c>
      <c r="AL189" s="39">
        <v>141</v>
      </c>
      <c r="AM189" s="32">
        <v>282</v>
      </c>
      <c r="AN189" s="39"/>
      <c r="AO189" s="39"/>
      <c r="AP189" s="39"/>
      <c r="AQ189" s="30"/>
      <c r="AR189" s="26"/>
      <c r="AS189" s="1"/>
    </row>
    <row r="190" spans="1:45" ht="15">
      <c r="A190" s="1">
        <v>22</v>
      </c>
      <c r="B190" s="1">
        <v>22</v>
      </c>
      <c r="C190" s="1"/>
      <c r="D190" s="1"/>
      <c r="E190" s="61" t="s">
        <v>531</v>
      </c>
      <c r="F190" s="29" t="s">
        <v>162</v>
      </c>
      <c r="G190" s="29"/>
      <c r="H190" s="27">
        <v>134</v>
      </c>
      <c r="I190" s="27"/>
      <c r="J190" s="27">
        <v>187</v>
      </c>
      <c r="K190" s="27"/>
      <c r="L190" s="27"/>
      <c r="M190" s="32">
        <f t="shared" si="23"/>
        <v>321</v>
      </c>
      <c r="N190" s="32" t="s">
        <v>1330</v>
      </c>
      <c r="O190" s="32"/>
      <c r="P190" s="32">
        <f t="shared" si="24"/>
        <v>320.98160000000001</v>
      </c>
      <c r="Q190" s="32">
        <f t="shared" si="25"/>
        <v>2</v>
      </c>
      <c r="R190" s="32">
        <f t="shared" ca="1" si="26"/>
        <v>0</v>
      </c>
      <c r="S190" s="33" t="s">
        <v>54</v>
      </c>
      <c r="T190" s="34">
        <f t="shared" si="27"/>
        <v>0</v>
      </c>
      <c r="U190" s="34">
        <f t="shared" ca="1" si="28"/>
        <v>0</v>
      </c>
      <c r="V190" s="34">
        <f>-SUMPRODUCT((S$6:S189=S190)*(X$6:X189=X190))</f>
        <v>0</v>
      </c>
      <c r="W190" s="34">
        <f>-SUMPRODUCT((S$6:S189=S190)*(X$6:X189=X190)*(B$6:B189&lt;&gt;"NS"))</f>
        <v>0</v>
      </c>
      <c r="X190" s="35">
        <f t="shared" si="29"/>
        <v>321.2004</v>
      </c>
      <c r="Y190" s="27">
        <v>187</v>
      </c>
      <c r="Z190" s="27">
        <v>134</v>
      </c>
      <c r="AA190" s="29"/>
      <c r="AB190" s="27"/>
      <c r="AC190" s="27"/>
      <c r="AD190" s="27"/>
      <c r="AF190" s="36">
        <v>0</v>
      </c>
      <c r="AG190" s="36">
        <v>0</v>
      </c>
      <c r="AH190" s="36">
        <v>0</v>
      </c>
      <c r="AI190" s="36">
        <v>0</v>
      </c>
      <c r="AJ190" s="37">
        <v>2</v>
      </c>
      <c r="AK190" s="38">
        <v>321.18259999999998</v>
      </c>
      <c r="AL190" s="39">
        <v>187</v>
      </c>
      <c r="AM190" s="32">
        <v>508</v>
      </c>
      <c r="AN190" s="39"/>
      <c r="AO190" s="39"/>
      <c r="AP190" s="39"/>
      <c r="AQ190" s="30"/>
      <c r="AR190" s="26"/>
      <c r="AS190" s="1"/>
    </row>
    <row r="191" spans="1:45" ht="15">
      <c r="A191" s="1">
        <v>23</v>
      </c>
      <c r="B191" s="1">
        <v>23</v>
      </c>
      <c r="C191" s="1"/>
      <c r="D191" s="1"/>
      <c r="E191" s="61" t="s">
        <v>532</v>
      </c>
      <c r="F191" s="29" t="s">
        <v>412</v>
      </c>
      <c r="G191" s="29"/>
      <c r="H191" s="27">
        <v>290</v>
      </c>
      <c r="I191" s="27"/>
      <c r="J191" s="27"/>
      <c r="K191" s="27"/>
      <c r="L191" s="27"/>
      <c r="M191" s="32">
        <f t="shared" si="23"/>
        <v>290</v>
      </c>
      <c r="N191" s="32" t="s">
        <v>1330</v>
      </c>
      <c r="O191" s="32"/>
      <c r="P191" s="32">
        <f t="shared" si="24"/>
        <v>289.98149999999998</v>
      </c>
      <c r="Q191" s="32">
        <f t="shared" si="25"/>
        <v>1</v>
      </c>
      <c r="R191" s="32">
        <f t="shared" ca="1" si="26"/>
        <v>0</v>
      </c>
      <c r="S191" s="33" t="s">
        <v>54</v>
      </c>
      <c r="T191" s="34">
        <f t="shared" si="27"/>
        <v>0</v>
      </c>
      <c r="U191" s="34">
        <f t="shared" ca="1" si="28"/>
        <v>0</v>
      </c>
      <c r="V191" s="34">
        <f>-SUMPRODUCT((S$6:S190=S191)*(X$6:X190=X191))</f>
        <v>0</v>
      </c>
      <c r="W191" s="34">
        <f>-SUMPRODUCT((S$6:S190=S191)*(X$6:X190=X191)*(B$6:B190&lt;&gt;"NS"))</f>
        <v>0</v>
      </c>
      <c r="X191" s="35">
        <f t="shared" si="29"/>
        <v>290.29000000000002</v>
      </c>
      <c r="Y191" s="27">
        <v>290</v>
      </c>
      <c r="Z191" s="29"/>
      <c r="AA191" s="27"/>
      <c r="AB191" s="27"/>
      <c r="AC191" s="27"/>
      <c r="AD191" s="27"/>
      <c r="AF191" s="36">
        <v>0</v>
      </c>
      <c r="AG191" s="36">
        <v>0</v>
      </c>
      <c r="AH191" s="36">
        <v>0</v>
      </c>
      <c r="AI191" s="36">
        <v>0</v>
      </c>
      <c r="AJ191" s="37">
        <v>1</v>
      </c>
      <c r="AK191" s="38">
        <v>290.27210000000002</v>
      </c>
      <c r="AL191" s="39">
        <v>290</v>
      </c>
      <c r="AM191" s="32">
        <v>580</v>
      </c>
      <c r="AN191" s="39"/>
      <c r="AO191" s="39"/>
      <c r="AP191" s="39"/>
      <c r="AQ191" s="30"/>
      <c r="AR191" s="26"/>
      <c r="AS191" s="1"/>
    </row>
    <row r="192" spans="1:45" ht="15">
      <c r="A192" s="1">
        <v>24</v>
      </c>
      <c r="B192" s="1">
        <v>24</v>
      </c>
      <c r="C192" s="1"/>
      <c r="D192" s="1"/>
      <c r="E192" s="61" t="s">
        <v>533</v>
      </c>
      <c r="F192" s="29" t="s">
        <v>50</v>
      </c>
      <c r="G192" s="29">
        <v>289</v>
      </c>
      <c r="H192" s="27"/>
      <c r="I192" s="27"/>
      <c r="J192" s="27"/>
      <c r="K192" s="27"/>
      <c r="L192" s="27"/>
      <c r="M192" s="32">
        <f t="shared" si="23"/>
        <v>289</v>
      </c>
      <c r="N192" s="32" t="s">
        <v>1330</v>
      </c>
      <c r="O192" s="32"/>
      <c r="P192" s="32">
        <f t="shared" si="24"/>
        <v>288.98140000000001</v>
      </c>
      <c r="Q192" s="32">
        <f t="shared" si="25"/>
        <v>1</v>
      </c>
      <c r="R192" s="32">
        <f t="shared" ca="1" si="26"/>
        <v>0</v>
      </c>
      <c r="S192" s="33" t="s">
        <v>54</v>
      </c>
      <c r="T192" s="34">
        <f t="shared" si="27"/>
        <v>0</v>
      </c>
      <c r="U192" s="34">
        <f t="shared" ca="1" si="28"/>
        <v>0</v>
      </c>
      <c r="V192" s="34">
        <f>-SUMPRODUCT((S$6:S191=S192)*(X$6:X191=X192))</f>
        <v>0</v>
      </c>
      <c r="W192" s="34">
        <f>-SUMPRODUCT((S$6:S191=S192)*(X$6:X191=X192)*(B$6:B191&lt;&gt;"NS"))</f>
        <v>0</v>
      </c>
      <c r="X192" s="35">
        <f t="shared" si="29"/>
        <v>289.28899999999999</v>
      </c>
      <c r="Y192" s="29">
        <v>289</v>
      </c>
      <c r="Z192" s="27"/>
      <c r="AA192" s="27"/>
      <c r="AB192" s="27"/>
      <c r="AC192" s="27"/>
      <c r="AD192" s="27"/>
      <c r="AF192" s="36">
        <v>0</v>
      </c>
      <c r="AG192" s="36">
        <v>0</v>
      </c>
      <c r="AH192" s="36">
        <v>0</v>
      </c>
      <c r="AI192" s="36">
        <v>0</v>
      </c>
      <c r="AJ192" s="37">
        <v>1</v>
      </c>
      <c r="AK192" s="38">
        <v>289.27100000000002</v>
      </c>
      <c r="AL192" s="39">
        <v>289</v>
      </c>
      <c r="AM192" s="32">
        <v>578</v>
      </c>
      <c r="AN192" s="39"/>
      <c r="AO192" s="39"/>
      <c r="AP192" s="39"/>
      <c r="AQ192" s="30"/>
      <c r="AR192" s="26"/>
      <c r="AS192" s="1"/>
    </row>
    <row r="193" spans="1:45" ht="15">
      <c r="A193" s="1">
        <v>25</v>
      </c>
      <c r="B193" s="1" t="s">
        <v>111</v>
      </c>
      <c r="C193" s="1"/>
      <c r="D193" s="1"/>
      <c r="E193" s="61" t="s">
        <v>534</v>
      </c>
      <c r="F193" s="29" t="s">
        <v>201</v>
      </c>
      <c r="G193" s="29"/>
      <c r="H193" s="27">
        <v>289</v>
      </c>
      <c r="I193" s="27"/>
      <c r="J193" s="27"/>
      <c r="K193" s="27"/>
      <c r="L193" s="27"/>
      <c r="M193" s="32">
        <f t="shared" si="23"/>
        <v>289</v>
      </c>
      <c r="N193" s="32" t="s">
        <v>1331</v>
      </c>
      <c r="O193" s="32"/>
      <c r="P193" s="32">
        <f t="shared" si="24"/>
        <v>288.98129999999998</v>
      </c>
      <c r="Q193" s="32">
        <f t="shared" si="25"/>
        <v>1</v>
      </c>
      <c r="R193" s="32">
        <f t="shared" ca="1" si="26"/>
        <v>0</v>
      </c>
      <c r="S193" s="33" t="s">
        <v>54</v>
      </c>
      <c r="T193" s="34">
        <f t="shared" si="27"/>
        <v>0</v>
      </c>
      <c r="U193" s="34">
        <f t="shared" ca="1" si="28"/>
        <v>0</v>
      </c>
      <c r="V193" s="34">
        <f>-SUMPRODUCT((S$6:S192=S193)*(X$6:X192=X193))</f>
        <v>-1</v>
      </c>
      <c r="W193" s="34">
        <f>-SUMPRODUCT((S$6:S192=S193)*(X$6:X192=X193)*(B$6:B192&lt;&gt;"NS"))</f>
        <v>-1</v>
      </c>
      <c r="X193" s="35">
        <f t="shared" si="29"/>
        <v>289.28899999999999</v>
      </c>
      <c r="Y193" s="27">
        <v>289</v>
      </c>
      <c r="Z193" s="29"/>
      <c r="AA193" s="27"/>
      <c r="AB193" s="27"/>
      <c r="AC193" s="27"/>
      <c r="AD193" s="27"/>
      <c r="AF193" s="36">
        <v>0</v>
      </c>
      <c r="AG193" s="36">
        <v>0</v>
      </c>
      <c r="AH193" s="36">
        <v>0</v>
      </c>
      <c r="AI193" s="36">
        <v>0</v>
      </c>
      <c r="AJ193" s="37">
        <v>1</v>
      </c>
      <c r="AK193" s="38">
        <v>289.27089999999998</v>
      </c>
      <c r="AL193" s="39">
        <v>289</v>
      </c>
      <c r="AM193" s="32">
        <v>0</v>
      </c>
      <c r="AN193" s="39"/>
      <c r="AO193" s="39"/>
      <c r="AP193" s="39"/>
      <c r="AQ193" s="30"/>
      <c r="AR193" s="26"/>
      <c r="AS193" s="1"/>
    </row>
    <row r="194" spans="1:45" ht="15">
      <c r="A194" s="1">
        <v>26</v>
      </c>
      <c r="B194" s="1">
        <v>25</v>
      </c>
      <c r="C194" s="1"/>
      <c r="D194" s="1"/>
      <c r="E194" s="61" t="s">
        <v>535</v>
      </c>
      <c r="F194" s="29" t="s">
        <v>19</v>
      </c>
      <c r="G194" s="29">
        <v>279</v>
      </c>
      <c r="H194" s="27"/>
      <c r="I194" s="27"/>
      <c r="J194" s="27"/>
      <c r="K194" s="27"/>
      <c r="L194" s="27"/>
      <c r="M194" s="32">
        <f t="shared" si="23"/>
        <v>279</v>
      </c>
      <c r="N194" s="32" t="s">
        <v>1330</v>
      </c>
      <c r="O194" s="32"/>
      <c r="P194" s="32">
        <f t="shared" si="24"/>
        <v>278.9812</v>
      </c>
      <c r="Q194" s="32">
        <f t="shared" si="25"/>
        <v>1</v>
      </c>
      <c r="R194" s="32">
        <f t="shared" ca="1" si="26"/>
        <v>0</v>
      </c>
      <c r="S194" s="33" t="s">
        <v>54</v>
      </c>
      <c r="T194" s="34">
        <f t="shared" si="27"/>
        <v>0</v>
      </c>
      <c r="U194" s="34">
        <f t="shared" ca="1" si="28"/>
        <v>0</v>
      </c>
      <c r="V194" s="34">
        <f>-SUMPRODUCT((S$6:S193=S194)*(X$6:X193=X194))</f>
        <v>0</v>
      </c>
      <c r="W194" s="34">
        <f>-SUMPRODUCT((S$6:S193=S194)*(X$6:X193=X194)*(B$6:B193&lt;&gt;"NS"))</f>
        <v>0</v>
      </c>
      <c r="X194" s="35">
        <f t="shared" si="29"/>
        <v>279.279</v>
      </c>
      <c r="Y194" s="29">
        <v>279</v>
      </c>
      <c r="Z194" s="27"/>
      <c r="AA194" s="27"/>
      <c r="AB194" s="27"/>
      <c r="AC194" s="27"/>
      <c r="AD194" s="27"/>
      <c r="AF194" s="36">
        <v>0</v>
      </c>
      <c r="AG194" s="36">
        <v>0</v>
      </c>
      <c r="AH194" s="36">
        <v>0</v>
      </c>
      <c r="AI194" s="36">
        <v>0</v>
      </c>
      <c r="AJ194" s="37">
        <v>1</v>
      </c>
      <c r="AK194" s="38">
        <v>279.26080000000002</v>
      </c>
      <c r="AL194" s="39">
        <v>279</v>
      </c>
      <c r="AM194" s="32">
        <v>558</v>
      </c>
      <c r="AN194" s="39"/>
      <c r="AO194" s="39"/>
      <c r="AP194" s="39"/>
      <c r="AQ194" s="30"/>
      <c r="AR194" s="26"/>
      <c r="AS194" s="1"/>
    </row>
    <row r="195" spans="1:45" ht="15">
      <c r="A195" s="1">
        <v>27</v>
      </c>
      <c r="B195" s="1">
        <v>26</v>
      </c>
      <c r="C195" s="1"/>
      <c r="D195" s="1"/>
      <c r="E195" s="61" t="s">
        <v>536</v>
      </c>
      <c r="F195" s="29" t="s">
        <v>50</v>
      </c>
      <c r="G195" s="29"/>
      <c r="H195" s="27"/>
      <c r="I195" s="27"/>
      <c r="J195" s="27">
        <v>272</v>
      </c>
      <c r="K195" s="27"/>
      <c r="L195" s="27"/>
      <c r="M195" s="32">
        <f t="shared" si="23"/>
        <v>272</v>
      </c>
      <c r="N195" s="32" t="s">
        <v>1330</v>
      </c>
      <c r="O195" s="32"/>
      <c r="P195" s="32">
        <f t="shared" si="24"/>
        <v>271.98110000000003</v>
      </c>
      <c r="Q195" s="32">
        <f t="shared" si="25"/>
        <v>1</v>
      </c>
      <c r="R195" s="32">
        <f t="shared" ca="1" si="26"/>
        <v>0</v>
      </c>
      <c r="S195" s="33" t="s">
        <v>54</v>
      </c>
      <c r="T195" s="34">
        <f t="shared" si="27"/>
        <v>0</v>
      </c>
      <c r="U195" s="34">
        <f t="shared" ca="1" si="28"/>
        <v>0</v>
      </c>
      <c r="V195" s="34">
        <f>-SUMPRODUCT((S$6:S194=S195)*(X$6:X194=X195))</f>
        <v>0</v>
      </c>
      <c r="W195" s="34">
        <f>-SUMPRODUCT((S$6:S194=S195)*(X$6:X194=X195)*(B$6:B194&lt;&gt;"NS"))</f>
        <v>0</v>
      </c>
      <c r="X195" s="35">
        <f t="shared" si="29"/>
        <v>272.27199999999999</v>
      </c>
      <c r="Y195" s="27">
        <v>272</v>
      </c>
      <c r="Z195" s="29"/>
      <c r="AA195" s="27"/>
      <c r="AB195" s="27"/>
      <c r="AC195" s="27"/>
      <c r="AD195" s="27"/>
      <c r="AF195" s="36">
        <v>0</v>
      </c>
      <c r="AG195" s="36">
        <v>0</v>
      </c>
      <c r="AH195" s="36">
        <v>0</v>
      </c>
      <c r="AI195" s="36">
        <v>0</v>
      </c>
      <c r="AJ195" s="37">
        <v>1</v>
      </c>
      <c r="AK195" s="38">
        <v>272.25369999999998</v>
      </c>
      <c r="AL195" s="39">
        <v>272</v>
      </c>
      <c r="AM195" s="32">
        <v>544</v>
      </c>
      <c r="AN195" s="39"/>
      <c r="AO195" s="39"/>
      <c r="AP195" s="39"/>
      <c r="AQ195" s="30"/>
      <c r="AR195" s="26"/>
      <c r="AS195" s="1"/>
    </row>
    <row r="196" spans="1:45" ht="15">
      <c r="A196" s="1">
        <v>28</v>
      </c>
      <c r="B196" s="1">
        <v>27</v>
      </c>
      <c r="C196" s="1"/>
      <c r="D196" s="1"/>
      <c r="E196" s="61" t="s">
        <v>537</v>
      </c>
      <c r="F196" s="29" t="s">
        <v>76</v>
      </c>
      <c r="G196" s="29">
        <v>148</v>
      </c>
      <c r="H196" s="27">
        <v>119</v>
      </c>
      <c r="I196" s="27"/>
      <c r="J196" s="27"/>
      <c r="K196" s="27"/>
      <c r="L196" s="27"/>
      <c r="M196" s="32">
        <f t="shared" si="23"/>
        <v>267</v>
      </c>
      <c r="N196" s="32" t="s">
        <v>1330</v>
      </c>
      <c r="O196" s="32"/>
      <c r="P196" s="32">
        <f t="shared" si="24"/>
        <v>266.98099999999999</v>
      </c>
      <c r="Q196" s="32">
        <f t="shared" si="25"/>
        <v>2</v>
      </c>
      <c r="R196" s="32">
        <f t="shared" ca="1" si="26"/>
        <v>0</v>
      </c>
      <c r="S196" s="33" t="s">
        <v>54</v>
      </c>
      <c r="T196" s="34">
        <f t="shared" si="27"/>
        <v>0</v>
      </c>
      <c r="U196" s="34">
        <f t="shared" ca="1" si="28"/>
        <v>0</v>
      </c>
      <c r="V196" s="34">
        <f>-SUMPRODUCT((S$6:S195=S196)*(X$6:X195=X196))</f>
        <v>0</v>
      </c>
      <c r="W196" s="34">
        <f>-SUMPRODUCT((S$6:S195=S196)*(X$6:X195=X196)*(B$6:B195&lt;&gt;"NS"))</f>
        <v>0</v>
      </c>
      <c r="X196" s="35">
        <f t="shared" si="29"/>
        <v>267.15989999999999</v>
      </c>
      <c r="Y196" s="29">
        <v>148</v>
      </c>
      <c r="Z196" s="27">
        <v>119</v>
      </c>
      <c r="AA196" s="27"/>
      <c r="AB196" s="27"/>
      <c r="AC196" s="27"/>
      <c r="AD196" s="27"/>
      <c r="AF196" s="36">
        <v>0</v>
      </c>
      <c r="AG196" s="36">
        <v>0</v>
      </c>
      <c r="AH196" s="36">
        <v>0</v>
      </c>
      <c r="AI196" s="36">
        <v>0</v>
      </c>
      <c r="AJ196" s="37">
        <v>2</v>
      </c>
      <c r="AK196" s="38">
        <v>267.14150000000006</v>
      </c>
      <c r="AL196" s="39">
        <v>148</v>
      </c>
      <c r="AM196" s="32">
        <v>415</v>
      </c>
      <c r="AN196" s="39"/>
      <c r="AO196" s="39"/>
      <c r="AP196" s="39"/>
      <c r="AQ196" s="30"/>
      <c r="AR196" s="26"/>
      <c r="AS196" s="1"/>
    </row>
    <row r="197" spans="1:45" ht="15">
      <c r="A197" s="1">
        <v>29</v>
      </c>
      <c r="B197" s="1">
        <v>28</v>
      </c>
      <c r="C197" s="1"/>
      <c r="D197" s="1"/>
      <c r="E197" s="61" t="s">
        <v>538</v>
      </c>
      <c r="F197" s="29" t="s">
        <v>118</v>
      </c>
      <c r="G197" s="29">
        <v>119</v>
      </c>
      <c r="H197" s="27">
        <v>132</v>
      </c>
      <c r="I197" s="27"/>
      <c r="J197" s="27"/>
      <c r="K197" s="27"/>
      <c r="L197" s="27"/>
      <c r="M197" s="32">
        <f t="shared" si="23"/>
        <v>251</v>
      </c>
      <c r="N197" s="32" t="s">
        <v>1330</v>
      </c>
      <c r="O197" s="32"/>
      <c r="P197" s="32">
        <f t="shared" si="24"/>
        <v>250.98089999999999</v>
      </c>
      <c r="Q197" s="32">
        <f t="shared" si="25"/>
        <v>2</v>
      </c>
      <c r="R197" s="32">
        <f t="shared" ca="1" si="26"/>
        <v>0</v>
      </c>
      <c r="S197" s="33" t="s">
        <v>54</v>
      </c>
      <c r="T197" s="34">
        <f t="shared" si="27"/>
        <v>0</v>
      </c>
      <c r="U197" s="34">
        <f t="shared" ca="1" si="28"/>
        <v>0</v>
      </c>
      <c r="V197" s="34">
        <f>-SUMPRODUCT((S$6:S196=S197)*(X$6:X196=X197))</f>
        <v>0</v>
      </c>
      <c r="W197" s="34">
        <f>-SUMPRODUCT((S$6:S196=S197)*(X$6:X196=X197)*(B$6:B196&lt;&gt;"NS"))</f>
        <v>0</v>
      </c>
      <c r="X197" s="35">
        <f t="shared" si="29"/>
        <v>251.1439</v>
      </c>
      <c r="Y197" s="27">
        <v>132</v>
      </c>
      <c r="Z197" s="29">
        <v>119</v>
      </c>
      <c r="AA197" s="27"/>
      <c r="AB197" s="27"/>
      <c r="AC197" s="27"/>
      <c r="AD197" s="27"/>
      <c r="AF197" s="36">
        <v>0</v>
      </c>
      <c r="AG197" s="36">
        <v>0</v>
      </c>
      <c r="AH197" s="36">
        <v>0</v>
      </c>
      <c r="AI197" s="36">
        <v>0</v>
      </c>
      <c r="AJ197" s="37">
        <v>2</v>
      </c>
      <c r="AK197" s="38">
        <v>251.12540000000001</v>
      </c>
      <c r="AL197" s="39">
        <v>132</v>
      </c>
      <c r="AM197" s="32">
        <v>383</v>
      </c>
      <c r="AN197" s="39"/>
      <c r="AO197" s="39"/>
      <c r="AP197" s="39"/>
      <c r="AQ197" s="30"/>
      <c r="AR197" s="26"/>
      <c r="AS197" s="1"/>
    </row>
    <row r="198" spans="1:45" ht="15">
      <c r="A198" s="1">
        <v>30</v>
      </c>
      <c r="B198" s="1">
        <v>29</v>
      </c>
      <c r="C198" s="1"/>
      <c r="D198" s="1"/>
      <c r="E198" s="61" t="s">
        <v>539</v>
      </c>
      <c r="F198" s="29" t="s">
        <v>84</v>
      </c>
      <c r="G198" s="29">
        <v>247</v>
      </c>
      <c r="H198" s="27"/>
      <c r="I198" s="27"/>
      <c r="J198" s="27"/>
      <c r="K198" s="27"/>
      <c r="L198" s="27"/>
      <c r="M198" s="32">
        <f t="shared" si="23"/>
        <v>247</v>
      </c>
      <c r="N198" s="32" t="s">
        <v>1330</v>
      </c>
      <c r="O198" s="32"/>
      <c r="P198" s="32">
        <f t="shared" si="24"/>
        <v>246.98079999999999</v>
      </c>
      <c r="Q198" s="32">
        <f t="shared" si="25"/>
        <v>1</v>
      </c>
      <c r="R198" s="32">
        <f t="shared" ca="1" si="26"/>
        <v>0</v>
      </c>
      <c r="S198" s="33" t="s">
        <v>54</v>
      </c>
      <c r="T198" s="34">
        <f t="shared" si="27"/>
        <v>0</v>
      </c>
      <c r="U198" s="34">
        <f t="shared" ca="1" si="28"/>
        <v>0</v>
      </c>
      <c r="V198" s="34">
        <f>-SUMPRODUCT((S$6:S197=S198)*(X$6:X197=X198))</f>
        <v>0</v>
      </c>
      <c r="W198" s="34">
        <f>-SUMPRODUCT((S$6:S197=S198)*(X$6:X197=X198)*(B$6:B197&lt;&gt;"NS"))</f>
        <v>0</v>
      </c>
      <c r="X198" s="35">
        <f t="shared" si="29"/>
        <v>247.24700000000001</v>
      </c>
      <c r="Y198" s="29">
        <v>247</v>
      </c>
      <c r="Z198" s="27"/>
      <c r="AA198" s="27"/>
      <c r="AB198" s="27"/>
      <c r="AC198" s="27"/>
      <c r="AD198" s="27"/>
      <c r="AF198" s="36">
        <v>0</v>
      </c>
      <c r="AG198" s="36">
        <v>0</v>
      </c>
      <c r="AH198" s="36">
        <v>0</v>
      </c>
      <c r="AI198" s="36">
        <v>0</v>
      </c>
      <c r="AJ198" s="37">
        <v>1</v>
      </c>
      <c r="AK198" s="38">
        <v>247.22840000000002</v>
      </c>
      <c r="AL198" s="39">
        <v>247</v>
      </c>
      <c r="AM198" s="32">
        <v>494</v>
      </c>
      <c r="AN198" s="39"/>
      <c r="AO198" s="39"/>
      <c r="AP198" s="39"/>
      <c r="AQ198" s="30"/>
      <c r="AR198" s="26"/>
      <c r="AS198" s="1"/>
    </row>
    <row r="199" spans="1:45" ht="15">
      <c r="A199" s="1">
        <v>31</v>
      </c>
      <c r="B199" s="1">
        <v>30</v>
      </c>
      <c r="C199" s="1"/>
      <c r="D199" s="1"/>
      <c r="E199" s="61" t="s">
        <v>540</v>
      </c>
      <c r="F199" s="29" t="s">
        <v>412</v>
      </c>
      <c r="G199" s="29">
        <v>118</v>
      </c>
      <c r="H199" s="27">
        <v>126</v>
      </c>
      <c r="I199" s="27"/>
      <c r="J199" s="27"/>
      <c r="K199" s="27"/>
      <c r="L199" s="27"/>
      <c r="M199" s="32">
        <f t="shared" si="23"/>
        <v>244</v>
      </c>
      <c r="N199" s="32" t="s">
        <v>1330</v>
      </c>
      <c r="O199" s="32"/>
      <c r="P199" s="32">
        <f t="shared" si="24"/>
        <v>243.98070000000001</v>
      </c>
      <c r="Q199" s="32">
        <f t="shared" si="25"/>
        <v>2</v>
      </c>
      <c r="R199" s="32">
        <f t="shared" ca="1" si="26"/>
        <v>0</v>
      </c>
      <c r="S199" s="33" t="s">
        <v>54</v>
      </c>
      <c r="T199" s="34">
        <f t="shared" si="27"/>
        <v>0</v>
      </c>
      <c r="U199" s="34">
        <f t="shared" ca="1" si="28"/>
        <v>0</v>
      </c>
      <c r="V199" s="34">
        <f>-SUMPRODUCT((S$6:S198=S199)*(X$6:X198=X199))</f>
        <v>0</v>
      </c>
      <c r="W199" s="34">
        <f>-SUMPRODUCT((S$6:S198=S199)*(X$6:X198=X199)*(B$6:B198&lt;&gt;"NS"))</f>
        <v>0</v>
      </c>
      <c r="X199" s="35">
        <f t="shared" si="29"/>
        <v>244.1378</v>
      </c>
      <c r="Y199" s="27">
        <v>126</v>
      </c>
      <c r="Z199" s="29">
        <v>118</v>
      </c>
      <c r="AA199" s="27"/>
      <c r="AB199" s="27"/>
      <c r="AC199" s="27"/>
      <c r="AD199" s="27"/>
      <c r="AF199" s="36">
        <v>0</v>
      </c>
      <c r="AG199" s="36">
        <v>0</v>
      </c>
      <c r="AH199" s="36">
        <v>0</v>
      </c>
      <c r="AI199" s="36">
        <v>0</v>
      </c>
      <c r="AJ199" s="37">
        <v>2</v>
      </c>
      <c r="AK199" s="38">
        <v>244.1191</v>
      </c>
      <c r="AL199" s="39">
        <v>126</v>
      </c>
      <c r="AM199" s="32">
        <v>370</v>
      </c>
      <c r="AN199" s="39"/>
      <c r="AO199" s="39"/>
      <c r="AP199" s="39"/>
      <c r="AQ199" s="30"/>
      <c r="AR199" s="26"/>
      <c r="AS199" s="1"/>
    </row>
    <row r="200" spans="1:45" ht="15">
      <c r="A200" s="1">
        <v>32</v>
      </c>
      <c r="B200" s="1">
        <v>31</v>
      </c>
      <c r="C200" s="1"/>
      <c r="D200" s="1"/>
      <c r="E200" s="61" t="s">
        <v>541</v>
      </c>
      <c r="F200" s="29" t="s">
        <v>53</v>
      </c>
      <c r="G200" s="29">
        <v>241</v>
      </c>
      <c r="H200" s="27"/>
      <c r="I200" s="27"/>
      <c r="J200" s="27"/>
      <c r="K200" s="27"/>
      <c r="L200" s="27"/>
      <c r="M200" s="32">
        <f t="shared" si="23"/>
        <v>241</v>
      </c>
      <c r="N200" s="32" t="s">
        <v>1330</v>
      </c>
      <c r="O200" s="32"/>
      <c r="P200" s="32">
        <f t="shared" si="24"/>
        <v>240.98060000000001</v>
      </c>
      <c r="Q200" s="32">
        <f t="shared" si="25"/>
        <v>1</v>
      </c>
      <c r="R200" s="32">
        <f t="shared" ca="1" si="26"/>
        <v>0</v>
      </c>
      <c r="S200" s="33" t="s">
        <v>54</v>
      </c>
      <c r="T200" s="34">
        <f t="shared" si="27"/>
        <v>0</v>
      </c>
      <c r="U200" s="34">
        <f t="shared" ca="1" si="28"/>
        <v>0</v>
      </c>
      <c r="V200" s="34">
        <f>-SUMPRODUCT((S$6:S199=S200)*(X$6:X199=X200))</f>
        <v>0</v>
      </c>
      <c r="W200" s="34">
        <f>-SUMPRODUCT((S$6:S199=S200)*(X$6:X199=X200)*(B$6:B199&lt;&gt;"NS"))</f>
        <v>0</v>
      </c>
      <c r="X200" s="35">
        <f t="shared" si="29"/>
        <v>241.24100000000001</v>
      </c>
      <c r="Y200" s="29">
        <v>241</v>
      </c>
      <c r="Z200" s="27"/>
      <c r="AA200" s="27"/>
      <c r="AB200" s="27"/>
      <c r="AC200" s="27"/>
      <c r="AD200" s="27"/>
      <c r="AF200" s="36">
        <v>0</v>
      </c>
      <c r="AG200" s="36">
        <v>0</v>
      </c>
      <c r="AH200" s="36">
        <v>0</v>
      </c>
      <c r="AI200" s="36">
        <v>0</v>
      </c>
      <c r="AJ200" s="37">
        <v>1</v>
      </c>
      <c r="AK200" s="38">
        <v>241.22220000000002</v>
      </c>
      <c r="AL200" s="39">
        <v>241</v>
      </c>
      <c r="AM200" s="32">
        <v>482</v>
      </c>
      <c r="AN200" s="39"/>
      <c r="AO200" s="39"/>
      <c r="AP200" s="39"/>
      <c r="AQ200" s="30"/>
      <c r="AR200" s="26"/>
      <c r="AS200" s="1"/>
    </row>
    <row r="201" spans="1:45" ht="15">
      <c r="A201" s="1">
        <v>33</v>
      </c>
      <c r="B201" s="1">
        <v>32</v>
      </c>
      <c r="C201" s="1"/>
      <c r="D201" s="1"/>
      <c r="E201" s="61" t="s">
        <v>542</v>
      </c>
      <c r="F201" s="29" t="s">
        <v>50</v>
      </c>
      <c r="G201" s="29"/>
      <c r="H201" s="27"/>
      <c r="I201" s="27"/>
      <c r="J201" s="27">
        <v>224</v>
      </c>
      <c r="K201" s="27"/>
      <c r="L201" s="27"/>
      <c r="M201" s="32">
        <f t="shared" si="23"/>
        <v>224</v>
      </c>
      <c r="N201" s="32" t="s">
        <v>1330</v>
      </c>
      <c r="O201" s="32"/>
      <c r="P201" s="32">
        <f t="shared" si="24"/>
        <v>223.98050000000001</v>
      </c>
      <c r="Q201" s="32">
        <f t="shared" si="25"/>
        <v>1</v>
      </c>
      <c r="R201" s="32">
        <f t="shared" ca="1" si="26"/>
        <v>0</v>
      </c>
      <c r="S201" s="33" t="s">
        <v>54</v>
      </c>
      <c r="T201" s="34">
        <f t="shared" si="27"/>
        <v>0</v>
      </c>
      <c r="U201" s="34">
        <f t="shared" ca="1" si="28"/>
        <v>0</v>
      </c>
      <c r="V201" s="34">
        <f>-SUMPRODUCT((S$6:S200=S201)*(X$6:X200=X201))</f>
        <v>0</v>
      </c>
      <c r="W201" s="34">
        <f>-SUMPRODUCT((S$6:S200=S201)*(X$6:X200=X201)*(B$6:B200&lt;&gt;"NS"))</f>
        <v>0</v>
      </c>
      <c r="X201" s="35">
        <f t="shared" si="29"/>
        <v>224.22399999999999</v>
      </c>
      <c r="Y201" s="27">
        <v>224</v>
      </c>
      <c r="Z201" s="29"/>
      <c r="AA201" s="27"/>
      <c r="AB201" s="27"/>
      <c r="AC201" s="27"/>
      <c r="AD201" s="27"/>
      <c r="AF201" s="36">
        <v>0</v>
      </c>
      <c r="AG201" s="36">
        <v>0</v>
      </c>
      <c r="AH201" s="36">
        <v>0</v>
      </c>
      <c r="AI201" s="36">
        <v>0</v>
      </c>
      <c r="AJ201" s="37">
        <v>1</v>
      </c>
      <c r="AK201" s="38">
        <v>224.20509999999999</v>
      </c>
      <c r="AL201" s="39">
        <v>224</v>
      </c>
      <c r="AM201" s="32">
        <v>448</v>
      </c>
      <c r="AN201" s="39"/>
      <c r="AO201" s="39"/>
      <c r="AP201" s="39"/>
      <c r="AQ201" s="30"/>
      <c r="AR201" s="26"/>
      <c r="AS201" s="1"/>
    </row>
    <row r="202" spans="1:45" ht="15">
      <c r="A202" s="1">
        <v>34</v>
      </c>
      <c r="B202" s="1">
        <v>33</v>
      </c>
      <c r="C202" s="1"/>
      <c r="D202" s="1"/>
      <c r="E202" s="61" t="s">
        <v>543</v>
      </c>
      <c r="F202" s="29" t="s">
        <v>50</v>
      </c>
      <c r="G202" s="29">
        <v>214</v>
      </c>
      <c r="H202" s="27"/>
      <c r="I202" s="27"/>
      <c r="J202" s="27"/>
      <c r="K202" s="27"/>
      <c r="L202" s="27"/>
      <c r="M202" s="32">
        <f t="shared" si="23"/>
        <v>214</v>
      </c>
      <c r="N202" s="32" t="s">
        <v>1330</v>
      </c>
      <c r="O202" s="32"/>
      <c r="P202" s="32">
        <f t="shared" si="24"/>
        <v>213.9804</v>
      </c>
      <c r="Q202" s="32">
        <f t="shared" si="25"/>
        <v>1</v>
      </c>
      <c r="R202" s="32">
        <f t="shared" ca="1" si="26"/>
        <v>0</v>
      </c>
      <c r="S202" s="33" t="s">
        <v>54</v>
      </c>
      <c r="T202" s="34">
        <f t="shared" si="27"/>
        <v>0</v>
      </c>
      <c r="U202" s="34">
        <f t="shared" ca="1" si="28"/>
        <v>0</v>
      </c>
      <c r="V202" s="34">
        <f>-SUMPRODUCT((S$6:S201=S202)*(X$6:X201=X202))</f>
        <v>0</v>
      </c>
      <c r="W202" s="34">
        <f>-SUMPRODUCT((S$6:S201=S202)*(X$6:X201=X202)*(B$6:B201&lt;&gt;"NS"))</f>
        <v>0</v>
      </c>
      <c r="X202" s="35">
        <f t="shared" si="29"/>
        <v>214.214</v>
      </c>
      <c r="Y202" s="29">
        <v>214</v>
      </c>
      <c r="Z202" s="27"/>
      <c r="AA202" s="27"/>
      <c r="AB202" s="27"/>
      <c r="AC202" s="27"/>
      <c r="AD202" s="27"/>
      <c r="AF202" s="36">
        <v>0</v>
      </c>
      <c r="AG202" s="36">
        <v>0</v>
      </c>
      <c r="AH202" s="36">
        <v>0</v>
      </c>
      <c r="AI202" s="36">
        <v>0</v>
      </c>
      <c r="AJ202" s="37">
        <v>1</v>
      </c>
      <c r="AK202" s="38">
        <v>214.19499999999999</v>
      </c>
      <c r="AL202" s="39">
        <v>214</v>
      </c>
      <c r="AM202" s="32">
        <v>428</v>
      </c>
      <c r="AN202" s="39"/>
      <c r="AO202" s="39"/>
      <c r="AP202" s="39"/>
      <c r="AQ202" s="30"/>
      <c r="AR202" s="26"/>
      <c r="AS202" s="1"/>
    </row>
    <row r="203" spans="1:45" ht="15">
      <c r="A203" s="1">
        <v>35</v>
      </c>
      <c r="B203" s="1">
        <v>34</v>
      </c>
      <c r="C203" s="1"/>
      <c r="D203" s="1"/>
      <c r="E203" s="61" t="s">
        <v>544</v>
      </c>
      <c r="F203" s="29" t="s">
        <v>57</v>
      </c>
      <c r="G203" s="29">
        <v>210</v>
      </c>
      <c r="H203" s="27"/>
      <c r="I203" s="27"/>
      <c r="J203" s="27"/>
      <c r="K203" s="27"/>
      <c r="L203" s="27"/>
      <c r="M203" s="32">
        <f t="shared" si="23"/>
        <v>210</v>
      </c>
      <c r="N203" s="32" t="s">
        <v>1330</v>
      </c>
      <c r="O203" s="32"/>
      <c r="P203" s="32">
        <f t="shared" si="24"/>
        <v>209.9803</v>
      </c>
      <c r="Q203" s="32">
        <f t="shared" si="25"/>
        <v>1</v>
      </c>
      <c r="R203" s="32">
        <f t="shared" ca="1" si="26"/>
        <v>0</v>
      </c>
      <c r="S203" s="33" t="s">
        <v>54</v>
      </c>
      <c r="T203" s="34">
        <f t="shared" si="27"/>
        <v>0</v>
      </c>
      <c r="U203" s="34">
        <f t="shared" ca="1" si="28"/>
        <v>0</v>
      </c>
      <c r="V203" s="34">
        <f>-SUMPRODUCT((S$6:S202=S203)*(X$6:X202=X203))</f>
        <v>0</v>
      </c>
      <c r="W203" s="34">
        <f>-SUMPRODUCT((S$6:S202=S203)*(X$6:X202=X203)*(B$6:B202&lt;&gt;"NS"))</f>
        <v>0</v>
      </c>
      <c r="X203" s="35">
        <f t="shared" si="29"/>
        <v>210.21</v>
      </c>
      <c r="Y203" s="29">
        <v>210</v>
      </c>
      <c r="Z203" s="27"/>
      <c r="AA203" s="27"/>
      <c r="AB203" s="27"/>
      <c r="AC203" s="27"/>
      <c r="AD203" s="27"/>
      <c r="AF203" s="36">
        <v>0</v>
      </c>
      <c r="AG203" s="36">
        <v>0</v>
      </c>
      <c r="AH203" s="36">
        <v>0</v>
      </c>
      <c r="AI203" s="36">
        <v>0</v>
      </c>
      <c r="AJ203" s="37">
        <v>1</v>
      </c>
      <c r="AK203" s="38">
        <v>210.1909</v>
      </c>
      <c r="AL203" s="39">
        <v>210</v>
      </c>
      <c r="AM203" s="32">
        <v>420</v>
      </c>
      <c r="AN203" s="39"/>
      <c r="AO203" s="39"/>
      <c r="AP203" s="39"/>
      <c r="AQ203" s="30"/>
      <c r="AR203" s="26"/>
      <c r="AS203" s="1"/>
    </row>
    <row r="204" spans="1:45" ht="15">
      <c r="A204" s="1">
        <v>36</v>
      </c>
      <c r="B204" s="1">
        <v>35</v>
      </c>
      <c r="C204" s="1"/>
      <c r="D204" s="1"/>
      <c r="E204" s="61" t="s">
        <v>545</v>
      </c>
      <c r="F204" s="29" t="s">
        <v>84</v>
      </c>
      <c r="G204" s="29">
        <v>206</v>
      </c>
      <c r="H204" s="27"/>
      <c r="I204" s="27"/>
      <c r="J204" s="27"/>
      <c r="K204" s="27"/>
      <c r="L204" s="27"/>
      <c r="M204" s="32">
        <f t="shared" si="23"/>
        <v>206</v>
      </c>
      <c r="N204" s="32" t="s">
        <v>1330</v>
      </c>
      <c r="O204" s="32"/>
      <c r="P204" s="32">
        <f t="shared" si="24"/>
        <v>205.9802</v>
      </c>
      <c r="Q204" s="32">
        <f t="shared" si="25"/>
        <v>1</v>
      </c>
      <c r="R204" s="32">
        <f t="shared" ca="1" si="26"/>
        <v>0</v>
      </c>
      <c r="S204" s="33" t="s">
        <v>54</v>
      </c>
      <c r="T204" s="34">
        <f t="shared" si="27"/>
        <v>0</v>
      </c>
      <c r="U204" s="34">
        <f t="shared" ca="1" si="28"/>
        <v>0</v>
      </c>
      <c r="V204" s="34">
        <f>-SUMPRODUCT((S$6:S203=S204)*(X$6:X203=X204))</f>
        <v>0</v>
      </c>
      <c r="W204" s="34">
        <f>-SUMPRODUCT((S$6:S203=S204)*(X$6:X203=X204)*(B$6:B203&lt;&gt;"NS"))</f>
        <v>0</v>
      </c>
      <c r="X204" s="35">
        <f t="shared" si="29"/>
        <v>206.20599999999999</v>
      </c>
      <c r="Y204" s="29">
        <v>206</v>
      </c>
      <c r="Z204" s="27"/>
      <c r="AA204" s="27"/>
      <c r="AB204" s="27"/>
      <c r="AC204" s="27"/>
      <c r="AD204" s="27"/>
      <c r="AF204" s="36">
        <v>0</v>
      </c>
      <c r="AG204" s="36">
        <v>0</v>
      </c>
      <c r="AH204" s="36">
        <v>0</v>
      </c>
      <c r="AI204" s="36">
        <v>0</v>
      </c>
      <c r="AJ204" s="37">
        <v>1</v>
      </c>
      <c r="AK204" s="38">
        <v>206.18679999999998</v>
      </c>
      <c r="AL204" s="39">
        <v>206</v>
      </c>
      <c r="AM204" s="32">
        <v>412</v>
      </c>
      <c r="AN204" s="39"/>
      <c r="AO204" s="39"/>
      <c r="AP204" s="39"/>
      <c r="AQ204" s="30"/>
      <c r="AR204" s="26"/>
      <c r="AS204" s="1"/>
    </row>
    <row r="205" spans="1:45" ht="15">
      <c r="A205" s="1">
        <v>37</v>
      </c>
      <c r="B205" s="1">
        <v>36</v>
      </c>
      <c r="C205" s="1"/>
      <c r="D205" s="1"/>
      <c r="E205" s="61" t="s">
        <v>546</v>
      </c>
      <c r="F205" s="29" t="s">
        <v>84</v>
      </c>
      <c r="G205" s="29"/>
      <c r="H205" s="27"/>
      <c r="I205" s="27">
        <v>201</v>
      </c>
      <c r="J205" s="27"/>
      <c r="K205" s="27"/>
      <c r="L205" s="27"/>
      <c r="M205" s="32">
        <f t="shared" si="23"/>
        <v>201</v>
      </c>
      <c r="N205" s="32" t="s">
        <v>1330</v>
      </c>
      <c r="O205" s="32"/>
      <c r="P205" s="32">
        <f t="shared" si="24"/>
        <v>200.98009999999999</v>
      </c>
      <c r="Q205" s="32">
        <f t="shared" si="25"/>
        <v>1</v>
      </c>
      <c r="R205" s="32">
        <f t="shared" ca="1" si="26"/>
        <v>0</v>
      </c>
      <c r="S205" s="33" t="s">
        <v>54</v>
      </c>
      <c r="T205" s="34">
        <f t="shared" si="27"/>
        <v>0</v>
      </c>
      <c r="U205" s="34">
        <f t="shared" ca="1" si="28"/>
        <v>0</v>
      </c>
      <c r="V205" s="34">
        <f>-SUMPRODUCT((S$6:S204=S205)*(X$6:X204=X205))</f>
        <v>0</v>
      </c>
      <c r="W205" s="34">
        <f>-SUMPRODUCT((S$6:S204=S205)*(X$6:X204=X205)*(B$6:B204&lt;&gt;"NS"))</f>
        <v>0</v>
      </c>
      <c r="X205" s="35">
        <f t="shared" si="29"/>
        <v>201.20099999999999</v>
      </c>
      <c r="Y205" s="27">
        <v>201</v>
      </c>
      <c r="Z205" s="29"/>
      <c r="AA205" s="27"/>
      <c r="AB205" s="27"/>
      <c r="AC205" s="27"/>
      <c r="AD205" s="27"/>
      <c r="AF205" s="36">
        <v>0</v>
      </c>
      <c r="AG205" s="36">
        <v>0</v>
      </c>
      <c r="AH205" s="36">
        <v>0</v>
      </c>
      <c r="AI205" s="36">
        <v>0</v>
      </c>
      <c r="AJ205" s="37">
        <v>1</v>
      </c>
      <c r="AK205" s="38">
        <v>201.18170000000001</v>
      </c>
      <c r="AL205" s="39">
        <v>201</v>
      </c>
      <c r="AM205" s="32">
        <v>402</v>
      </c>
      <c r="AN205" s="39"/>
      <c r="AO205" s="39"/>
      <c r="AP205" s="39"/>
      <c r="AQ205" s="30"/>
      <c r="AR205" s="26"/>
      <c r="AS205" s="1"/>
    </row>
    <row r="206" spans="1:45" ht="15">
      <c r="A206" s="1">
        <v>38</v>
      </c>
      <c r="B206" s="1">
        <v>37</v>
      </c>
      <c r="C206" s="1"/>
      <c r="D206" s="1"/>
      <c r="E206" s="61" t="s">
        <v>242</v>
      </c>
      <c r="F206" s="29" t="s">
        <v>118</v>
      </c>
      <c r="G206" s="29"/>
      <c r="H206" s="27"/>
      <c r="I206" s="27"/>
      <c r="J206" s="27"/>
      <c r="K206" s="27">
        <v>198</v>
      </c>
      <c r="L206" s="27"/>
      <c r="M206" s="32">
        <f t="shared" si="23"/>
        <v>198</v>
      </c>
      <c r="N206" s="32" t="s">
        <v>1330</v>
      </c>
      <c r="O206" s="32"/>
      <c r="P206" s="32">
        <f t="shared" si="24"/>
        <v>197.98</v>
      </c>
      <c r="Q206" s="32">
        <f t="shared" si="25"/>
        <v>1</v>
      </c>
      <c r="R206" s="32" t="str">
        <f t="shared" ca="1" si="26"/>
        <v>Y</v>
      </c>
      <c r="S206" s="33" t="s">
        <v>54</v>
      </c>
      <c r="T206" s="34">
        <f t="shared" si="27"/>
        <v>0</v>
      </c>
      <c r="U206" s="34">
        <f t="shared" ca="1" si="28"/>
        <v>198</v>
      </c>
      <c r="V206" s="34">
        <f>-SUMPRODUCT((S$6:S205=S206)*(X$6:X205=X206))</f>
        <v>0</v>
      </c>
      <c r="W206" s="34">
        <f>-SUMPRODUCT((S$6:S205=S206)*(X$6:X205=X206)*(B$6:B205&lt;&gt;"NS"))</f>
        <v>0</v>
      </c>
      <c r="X206" s="35">
        <f t="shared" si="29"/>
        <v>198.19800000000001</v>
      </c>
      <c r="Y206" s="27">
        <v>198</v>
      </c>
      <c r="Z206" s="29"/>
      <c r="AA206" s="27"/>
      <c r="AB206" s="27"/>
      <c r="AC206" s="27"/>
      <c r="AD206" s="27"/>
      <c r="AF206" s="36"/>
      <c r="AG206" s="36"/>
      <c r="AH206" s="36"/>
      <c r="AI206" s="36"/>
      <c r="AJ206" s="37"/>
      <c r="AK206" s="38"/>
      <c r="AL206" s="39"/>
      <c r="AM206" s="32"/>
      <c r="AN206" s="39"/>
      <c r="AO206" s="39"/>
      <c r="AP206" s="39"/>
      <c r="AQ206" s="30"/>
      <c r="AR206" s="26"/>
      <c r="AS206" s="1"/>
    </row>
    <row r="207" spans="1:45" ht="15">
      <c r="A207" s="1">
        <v>39</v>
      </c>
      <c r="B207" s="1">
        <v>38</v>
      </c>
      <c r="C207" s="1"/>
      <c r="D207" s="1"/>
      <c r="E207" s="61" t="s">
        <v>547</v>
      </c>
      <c r="F207" s="29" t="s">
        <v>29</v>
      </c>
      <c r="G207" s="29">
        <v>194</v>
      </c>
      <c r="H207" s="27"/>
      <c r="I207" s="27"/>
      <c r="J207" s="27"/>
      <c r="K207" s="27"/>
      <c r="L207" s="27"/>
      <c r="M207" s="32">
        <f t="shared" si="23"/>
        <v>194</v>
      </c>
      <c r="N207" s="32" t="s">
        <v>1330</v>
      </c>
      <c r="O207" s="32"/>
      <c r="P207" s="32">
        <f t="shared" si="24"/>
        <v>193.97989999999999</v>
      </c>
      <c r="Q207" s="32">
        <f t="shared" si="25"/>
        <v>1</v>
      </c>
      <c r="R207" s="32">
        <f t="shared" ca="1" si="26"/>
        <v>0</v>
      </c>
      <c r="S207" s="33" t="s">
        <v>54</v>
      </c>
      <c r="T207" s="34">
        <f t="shared" si="27"/>
        <v>0</v>
      </c>
      <c r="U207" s="34">
        <f t="shared" ca="1" si="28"/>
        <v>0</v>
      </c>
      <c r="V207" s="34">
        <f>-SUMPRODUCT((S$6:S206=S207)*(X$6:X206=X207))</f>
        <v>0</v>
      </c>
      <c r="W207" s="34">
        <f>-SUMPRODUCT((S$6:S206=S207)*(X$6:X206=X207)*(B$6:B206&lt;&gt;"NS"))</f>
        <v>0</v>
      </c>
      <c r="X207" s="35">
        <f t="shared" si="29"/>
        <v>194.19399999999999</v>
      </c>
      <c r="Y207" s="29">
        <v>194</v>
      </c>
      <c r="Z207" s="27"/>
      <c r="AA207" s="27"/>
      <c r="AB207" s="27"/>
      <c r="AC207" s="27"/>
      <c r="AD207" s="27"/>
      <c r="AF207" s="36">
        <v>0</v>
      </c>
      <c r="AG207" s="36">
        <v>0</v>
      </c>
      <c r="AH207" s="36">
        <v>0</v>
      </c>
      <c r="AI207" s="36">
        <v>0</v>
      </c>
      <c r="AJ207" s="37">
        <v>1</v>
      </c>
      <c r="AK207" s="38">
        <v>194.1746</v>
      </c>
      <c r="AL207" s="39">
        <v>194</v>
      </c>
      <c r="AM207" s="32">
        <v>388</v>
      </c>
      <c r="AN207" s="39"/>
      <c r="AO207" s="39"/>
      <c r="AP207" s="39"/>
      <c r="AQ207" s="30"/>
      <c r="AR207" s="26"/>
      <c r="AS207" s="1"/>
    </row>
    <row r="208" spans="1:45" ht="15">
      <c r="A208" s="1">
        <v>40</v>
      </c>
      <c r="B208" s="1">
        <v>39</v>
      </c>
      <c r="C208" s="1"/>
      <c r="D208" s="1"/>
      <c r="E208" s="61" t="s">
        <v>548</v>
      </c>
      <c r="F208" s="29" t="s">
        <v>134</v>
      </c>
      <c r="G208" s="29">
        <v>69</v>
      </c>
      <c r="H208" s="27">
        <v>86</v>
      </c>
      <c r="I208" s="27"/>
      <c r="J208" s="27"/>
      <c r="K208" s="27"/>
      <c r="L208" s="27"/>
      <c r="M208" s="32">
        <f t="shared" si="23"/>
        <v>155</v>
      </c>
      <c r="N208" s="32" t="s">
        <v>1330</v>
      </c>
      <c r="O208" s="32"/>
      <c r="P208" s="32">
        <f t="shared" si="24"/>
        <v>154.97980000000001</v>
      </c>
      <c r="Q208" s="32">
        <f t="shared" si="25"/>
        <v>2</v>
      </c>
      <c r="R208" s="32">
        <f t="shared" ca="1" si="26"/>
        <v>0</v>
      </c>
      <c r="S208" s="33" t="s">
        <v>54</v>
      </c>
      <c r="T208" s="34">
        <f t="shared" si="27"/>
        <v>0</v>
      </c>
      <c r="U208" s="34">
        <f t="shared" ca="1" si="28"/>
        <v>0</v>
      </c>
      <c r="V208" s="34">
        <f>-SUMPRODUCT((S$6:S207=S208)*(X$6:X207=X208))</f>
        <v>0</v>
      </c>
      <c r="W208" s="34">
        <f>-SUMPRODUCT((S$6:S207=S208)*(X$6:X207=X208)*(B$6:B207&lt;&gt;"NS"))</f>
        <v>0</v>
      </c>
      <c r="X208" s="35">
        <f t="shared" si="29"/>
        <v>155.09289999999999</v>
      </c>
      <c r="Y208" s="27">
        <v>86</v>
      </c>
      <c r="Z208" s="29">
        <v>69</v>
      </c>
      <c r="AA208" s="27"/>
      <c r="AB208" s="27"/>
      <c r="AC208" s="27"/>
      <c r="AD208" s="27"/>
      <c r="AF208" s="36">
        <v>0</v>
      </c>
      <c r="AG208" s="36">
        <v>0</v>
      </c>
      <c r="AH208" s="36">
        <v>0</v>
      </c>
      <c r="AI208" s="36">
        <v>0</v>
      </c>
      <c r="AJ208" s="37">
        <v>2</v>
      </c>
      <c r="AK208" s="38">
        <v>155.07340000000002</v>
      </c>
      <c r="AL208" s="39">
        <v>86</v>
      </c>
      <c r="AM208" s="32">
        <v>241</v>
      </c>
      <c r="AN208" s="39"/>
      <c r="AO208" s="39"/>
      <c r="AP208" s="39"/>
      <c r="AQ208" s="30"/>
      <c r="AR208" s="26"/>
      <c r="AS208" s="1"/>
    </row>
    <row r="209" spans="1:45" ht="15">
      <c r="A209" s="1">
        <v>41</v>
      </c>
      <c r="B209" s="1" t="s">
        <v>111</v>
      </c>
      <c r="C209" s="1"/>
      <c r="D209" s="1"/>
      <c r="E209" s="61" t="s">
        <v>549</v>
      </c>
      <c r="F209" s="29" t="s">
        <v>201</v>
      </c>
      <c r="G209" s="29">
        <v>64</v>
      </c>
      <c r="H209" s="27">
        <v>88</v>
      </c>
      <c r="I209" s="27"/>
      <c r="J209" s="27"/>
      <c r="K209" s="27"/>
      <c r="L209" s="27"/>
      <c r="M209" s="32">
        <f t="shared" si="23"/>
        <v>152</v>
      </c>
      <c r="N209" s="32" t="s">
        <v>1331</v>
      </c>
      <c r="O209" s="32"/>
      <c r="P209" s="32">
        <f t="shared" si="24"/>
        <v>151.97970000000001</v>
      </c>
      <c r="Q209" s="32">
        <f t="shared" si="25"/>
        <v>2</v>
      </c>
      <c r="R209" s="32">
        <f t="shared" ca="1" si="26"/>
        <v>0</v>
      </c>
      <c r="S209" s="33" t="s">
        <v>54</v>
      </c>
      <c r="T209" s="34">
        <f t="shared" si="27"/>
        <v>0</v>
      </c>
      <c r="U209" s="34">
        <f t="shared" ca="1" si="28"/>
        <v>0</v>
      </c>
      <c r="V209" s="34">
        <f>-SUMPRODUCT((S$6:S208=S209)*(X$6:X208=X209))</f>
        <v>0</v>
      </c>
      <c r="W209" s="34">
        <f>-SUMPRODUCT((S$6:S208=S209)*(X$6:X208=X209)*(B$6:B208&lt;&gt;"NS"))</f>
        <v>0</v>
      </c>
      <c r="X209" s="35">
        <f t="shared" si="29"/>
        <v>152.09440000000001</v>
      </c>
      <c r="Y209" s="27">
        <v>88</v>
      </c>
      <c r="Z209" s="29">
        <v>64</v>
      </c>
      <c r="AA209" s="27"/>
      <c r="AB209" s="27"/>
      <c r="AC209" s="27"/>
      <c r="AD209" s="27"/>
      <c r="AF209" s="36">
        <v>0</v>
      </c>
      <c r="AG209" s="36">
        <v>0</v>
      </c>
      <c r="AH209" s="36">
        <v>0</v>
      </c>
      <c r="AI209" s="36">
        <v>0</v>
      </c>
      <c r="AJ209" s="37">
        <v>2</v>
      </c>
      <c r="AK209" s="38">
        <v>152.07480000000001</v>
      </c>
      <c r="AL209" s="39">
        <v>88</v>
      </c>
      <c r="AM209" s="32">
        <v>0</v>
      </c>
      <c r="AN209" s="39"/>
      <c r="AO209" s="39"/>
      <c r="AP209" s="39"/>
      <c r="AQ209" s="30"/>
      <c r="AR209" s="26"/>
      <c r="AS209" s="1"/>
    </row>
    <row r="210" spans="1:45" ht="15">
      <c r="A210" s="1">
        <v>42</v>
      </c>
      <c r="B210" s="1">
        <v>40</v>
      </c>
      <c r="C210" s="1"/>
      <c r="D210" s="1"/>
      <c r="E210" s="61" t="s">
        <v>550</v>
      </c>
      <c r="F210" s="29" t="s">
        <v>57</v>
      </c>
      <c r="G210" s="29">
        <v>145</v>
      </c>
      <c r="H210" s="27"/>
      <c r="I210" s="27"/>
      <c r="J210" s="27"/>
      <c r="K210" s="27"/>
      <c r="L210" s="27"/>
      <c r="M210" s="32">
        <f t="shared" si="23"/>
        <v>145</v>
      </c>
      <c r="N210" s="32" t="s">
        <v>1330</v>
      </c>
      <c r="O210" s="32"/>
      <c r="P210" s="32">
        <f t="shared" si="24"/>
        <v>144.9796</v>
      </c>
      <c r="Q210" s="32">
        <f t="shared" si="25"/>
        <v>1</v>
      </c>
      <c r="R210" s="32">
        <f t="shared" ca="1" si="26"/>
        <v>0</v>
      </c>
      <c r="S210" s="33" t="s">
        <v>54</v>
      </c>
      <c r="T210" s="34">
        <f t="shared" si="27"/>
        <v>0</v>
      </c>
      <c r="U210" s="34">
        <f t="shared" ca="1" si="28"/>
        <v>0</v>
      </c>
      <c r="V210" s="34">
        <f>-SUMPRODUCT((S$6:S209=S210)*(X$6:X209=X210))</f>
        <v>0</v>
      </c>
      <c r="W210" s="34">
        <f>-SUMPRODUCT((S$6:S209=S210)*(X$6:X209=X210)*(B$6:B209&lt;&gt;"NS"))</f>
        <v>0</v>
      </c>
      <c r="X210" s="35">
        <f t="shared" si="29"/>
        <v>145.14500000000001</v>
      </c>
      <c r="Y210" s="29">
        <v>145</v>
      </c>
      <c r="Z210" s="27"/>
      <c r="AA210" s="27"/>
      <c r="AB210" s="27"/>
      <c r="AC210" s="27"/>
      <c r="AD210" s="27"/>
      <c r="AF210" s="36">
        <v>0</v>
      </c>
      <c r="AG210" s="36">
        <v>0</v>
      </c>
      <c r="AH210" s="36">
        <v>0</v>
      </c>
      <c r="AI210" s="36">
        <v>0</v>
      </c>
      <c r="AJ210" s="37">
        <v>1</v>
      </c>
      <c r="AK210" s="38">
        <v>145.12530000000001</v>
      </c>
      <c r="AL210" s="39">
        <v>145</v>
      </c>
      <c r="AM210" s="32">
        <v>290</v>
      </c>
      <c r="AN210" s="39"/>
      <c r="AO210" s="39"/>
      <c r="AP210" s="39"/>
      <c r="AQ210" s="30"/>
      <c r="AR210" s="26"/>
      <c r="AS210" s="1"/>
    </row>
    <row r="211" spans="1:45" ht="15">
      <c r="A211" s="1">
        <v>43</v>
      </c>
      <c r="B211" s="1">
        <v>41</v>
      </c>
      <c r="C211" s="1"/>
      <c r="D211" s="1"/>
      <c r="E211" s="61" t="s">
        <v>351</v>
      </c>
      <c r="F211" s="29" t="s">
        <v>134</v>
      </c>
      <c r="G211" s="29">
        <v>101</v>
      </c>
      <c r="H211" s="27"/>
      <c r="I211" s="27"/>
      <c r="J211" s="27"/>
      <c r="K211" s="27"/>
      <c r="L211" s="27"/>
      <c r="M211" s="32">
        <f t="shared" si="23"/>
        <v>101</v>
      </c>
      <c r="N211" s="32" t="s">
        <v>1330</v>
      </c>
      <c r="O211" s="32"/>
      <c r="P211" s="32">
        <f t="shared" si="24"/>
        <v>100.9795</v>
      </c>
      <c r="Q211" s="32">
        <f t="shared" si="25"/>
        <v>1</v>
      </c>
      <c r="R211" s="32">
        <f t="shared" ca="1" si="26"/>
        <v>0</v>
      </c>
      <c r="S211" s="33" t="s">
        <v>54</v>
      </c>
      <c r="T211" s="34">
        <f t="shared" si="27"/>
        <v>0</v>
      </c>
      <c r="U211" s="34">
        <f t="shared" ca="1" si="28"/>
        <v>0</v>
      </c>
      <c r="V211" s="34">
        <f>-SUMPRODUCT((S$6:S210=S211)*(X$6:X210=X211))</f>
        <v>0</v>
      </c>
      <c r="W211" s="34">
        <f>-SUMPRODUCT((S$6:S210=S211)*(X$6:X210=X211)*(B$6:B210&lt;&gt;"NS"))</f>
        <v>0</v>
      </c>
      <c r="X211" s="35">
        <f t="shared" si="29"/>
        <v>101.101</v>
      </c>
      <c r="Y211" s="29">
        <v>101</v>
      </c>
      <c r="Z211" s="27"/>
      <c r="AA211" s="27"/>
      <c r="AB211" s="27"/>
      <c r="AC211" s="27"/>
      <c r="AD211" s="27"/>
      <c r="AF211" s="36" t="s">
        <v>1339</v>
      </c>
      <c r="AG211" s="36">
        <v>0</v>
      </c>
      <c r="AH211" s="36">
        <v>0</v>
      </c>
      <c r="AI211" s="36">
        <v>0</v>
      </c>
      <c r="AJ211" s="37">
        <v>1</v>
      </c>
      <c r="AK211" s="38">
        <v>101.08109999999999</v>
      </c>
      <c r="AL211" s="39">
        <v>101</v>
      </c>
      <c r="AM211" s="32">
        <v>202</v>
      </c>
      <c r="AN211" s="39"/>
      <c r="AO211" s="39"/>
      <c r="AP211" s="39"/>
      <c r="AQ211" s="30"/>
      <c r="AR211" s="26"/>
      <c r="AS211" s="1"/>
    </row>
    <row r="212" spans="1:45" ht="15">
      <c r="A212" s="1">
        <v>44</v>
      </c>
      <c r="B212" s="1">
        <v>42</v>
      </c>
      <c r="C212" s="1"/>
      <c r="D212" s="1"/>
      <c r="E212" s="61" t="s">
        <v>551</v>
      </c>
      <c r="F212" s="29" t="s">
        <v>93</v>
      </c>
      <c r="G212" s="29"/>
      <c r="H212" s="27">
        <v>100</v>
      </c>
      <c r="I212" s="27"/>
      <c r="J212" s="27"/>
      <c r="K212" s="27"/>
      <c r="L212" s="27"/>
      <c r="M212" s="32">
        <f t="shared" si="23"/>
        <v>100</v>
      </c>
      <c r="N212" s="32" t="s">
        <v>1330</v>
      </c>
      <c r="O212" s="32"/>
      <c r="P212" s="32">
        <f t="shared" si="24"/>
        <v>99.979399999999998</v>
      </c>
      <c r="Q212" s="32">
        <f t="shared" si="25"/>
        <v>1</v>
      </c>
      <c r="R212" s="32">
        <f t="shared" ca="1" si="26"/>
        <v>0</v>
      </c>
      <c r="S212" s="33" t="s">
        <v>54</v>
      </c>
      <c r="T212" s="34">
        <f t="shared" si="27"/>
        <v>0</v>
      </c>
      <c r="U212" s="34">
        <f t="shared" ca="1" si="28"/>
        <v>0</v>
      </c>
      <c r="V212" s="34">
        <f>-SUMPRODUCT((S$6:S211=S212)*(X$6:X211=X212))</f>
        <v>0</v>
      </c>
      <c r="W212" s="34">
        <f>-SUMPRODUCT((S$6:S211=S212)*(X$6:X211=X212)*(B$6:B211&lt;&gt;"NS"))</f>
        <v>0</v>
      </c>
      <c r="X212" s="35">
        <f t="shared" si="29"/>
        <v>100.1</v>
      </c>
      <c r="Y212" s="27">
        <v>100</v>
      </c>
      <c r="Z212" s="29"/>
      <c r="AA212" s="27"/>
      <c r="AB212" s="27"/>
      <c r="AC212" s="27"/>
      <c r="AD212" s="27"/>
      <c r="AF212" s="36">
        <v>0</v>
      </c>
      <c r="AG212" s="36">
        <v>0</v>
      </c>
      <c r="AH212" s="36">
        <v>0</v>
      </c>
      <c r="AI212" s="36">
        <v>0</v>
      </c>
      <c r="AJ212" s="37">
        <v>1</v>
      </c>
      <c r="AK212" s="38">
        <v>100.08</v>
      </c>
      <c r="AL212" s="39">
        <v>100</v>
      </c>
      <c r="AM212" s="32">
        <v>200</v>
      </c>
      <c r="AN212" s="39"/>
      <c r="AO212" s="39"/>
      <c r="AP212" s="39"/>
      <c r="AQ212" s="30"/>
      <c r="AR212" s="26"/>
      <c r="AS212" s="1"/>
    </row>
    <row r="213" spans="1:45" ht="15">
      <c r="A213" s="1">
        <v>45</v>
      </c>
      <c r="B213" s="1">
        <v>43</v>
      </c>
      <c r="C213" s="1"/>
      <c r="D213" s="1"/>
      <c r="E213" s="61" t="s">
        <v>552</v>
      </c>
      <c r="F213" s="29" t="s">
        <v>66</v>
      </c>
      <c r="G213" s="29">
        <v>73</v>
      </c>
      <c r="H213" s="27"/>
      <c r="I213" s="27"/>
      <c r="J213" s="27"/>
      <c r="K213" s="27"/>
      <c r="L213" s="27"/>
      <c r="M213" s="32">
        <f t="shared" si="23"/>
        <v>73</v>
      </c>
      <c r="N213" s="32" t="s">
        <v>1330</v>
      </c>
      <c r="O213" s="32"/>
      <c r="P213" s="32">
        <f t="shared" si="24"/>
        <v>72.979299999999995</v>
      </c>
      <c r="Q213" s="32">
        <f t="shared" si="25"/>
        <v>1</v>
      </c>
      <c r="R213" s="32">
        <f t="shared" ca="1" si="26"/>
        <v>0</v>
      </c>
      <c r="S213" s="33" t="s">
        <v>54</v>
      </c>
      <c r="T213" s="34">
        <f t="shared" si="27"/>
        <v>0</v>
      </c>
      <c r="U213" s="34">
        <f t="shared" ca="1" si="28"/>
        <v>0</v>
      </c>
      <c r="V213" s="34">
        <f>-SUMPRODUCT((S$6:S212=S213)*(X$6:X212=X213))</f>
        <v>0</v>
      </c>
      <c r="W213" s="34">
        <f>-SUMPRODUCT((S$6:S212=S213)*(X$6:X212=X213)*(B$6:B212&lt;&gt;"NS"))</f>
        <v>0</v>
      </c>
      <c r="X213" s="35">
        <f t="shared" si="29"/>
        <v>73.072999999999993</v>
      </c>
      <c r="Y213" s="29">
        <v>73</v>
      </c>
      <c r="Z213" s="27"/>
      <c r="AA213" s="27"/>
      <c r="AB213" s="27"/>
      <c r="AC213" s="27"/>
      <c r="AD213" s="27"/>
      <c r="AF213" s="36">
        <v>0</v>
      </c>
      <c r="AG213" s="36">
        <v>0</v>
      </c>
      <c r="AH213" s="36">
        <v>0</v>
      </c>
      <c r="AI213" s="36">
        <v>0</v>
      </c>
      <c r="AJ213" s="37">
        <v>1</v>
      </c>
      <c r="AK213" s="38">
        <v>73.052899999999994</v>
      </c>
      <c r="AL213" s="39">
        <v>73</v>
      </c>
      <c r="AM213" s="32">
        <v>146</v>
      </c>
      <c r="AN213" s="39"/>
      <c r="AO213" s="39"/>
      <c r="AP213" s="39"/>
      <c r="AQ213" s="30"/>
      <c r="AR213" s="26"/>
      <c r="AS213" s="1"/>
    </row>
    <row r="214" spans="1:45" ht="15">
      <c r="A214" s="1">
        <v>46</v>
      </c>
      <c r="B214" s="1">
        <v>44</v>
      </c>
      <c r="C214" s="1"/>
      <c r="D214" s="1"/>
      <c r="E214" s="61" t="s">
        <v>553</v>
      </c>
      <c r="F214" s="29" t="s">
        <v>485</v>
      </c>
      <c r="G214" s="29"/>
      <c r="H214" s="27">
        <v>59</v>
      </c>
      <c r="I214" s="27"/>
      <c r="J214" s="27"/>
      <c r="K214" s="27"/>
      <c r="L214" s="27"/>
      <c r="M214" s="32">
        <f t="shared" si="23"/>
        <v>59</v>
      </c>
      <c r="N214" s="32" t="s">
        <v>1330</v>
      </c>
      <c r="O214" s="32"/>
      <c r="P214" s="32">
        <f t="shared" si="24"/>
        <v>58.979199999999999</v>
      </c>
      <c r="Q214" s="32">
        <f t="shared" si="25"/>
        <v>1</v>
      </c>
      <c r="R214" s="32">
        <f t="shared" ca="1" si="26"/>
        <v>0</v>
      </c>
      <c r="S214" s="33" t="s">
        <v>54</v>
      </c>
      <c r="T214" s="34">
        <f t="shared" si="27"/>
        <v>0</v>
      </c>
      <c r="U214" s="34">
        <f t="shared" ca="1" si="28"/>
        <v>0</v>
      </c>
      <c r="V214" s="34">
        <f>-SUMPRODUCT((S$6:S213=S214)*(X$6:X213=X214))</f>
        <v>0</v>
      </c>
      <c r="W214" s="34">
        <f>-SUMPRODUCT((S$6:S213=S214)*(X$6:X213=X214)*(B$6:B213&lt;&gt;"NS"))</f>
        <v>0</v>
      </c>
      <c r="X214" s="35">
        <f t="shared" si="29"/>
        <v>59.058999999999997</v>
      </c>
      <c r="Y214" s="27">
        <v>59</v>
      </c>
      <c r="Z214" s="29"/>
      <c r="AA214" s="27"/>
      <c r="AB214" s="27"/>
      <c r="AC214" s="27"/>
      <c r="AD214" s="27"/>
      <c r="AF214" s="36">
        <v>0</v>
      </c>
      <c r="AG214" s="36">
        <v>0</v>
      </c>
      <c r="AH214" s="36">
        <v>0</v>
      </c>
      <c r="AI214" s="36">
        <v>0</v>
      </c>
      <c r="AJ214" s="37">
        <v>1</v>
      </c>
      <c r="AK214" s="38">
        <v>59.038799999999995</v>
      </c>
      <c r="AL214" s="39">
        <v>59</v>
      </c>
      <c r="AM214" s="32">
        <v>118</v>
      </c>
      <c r="AN214" s="39"/>
      <c r="AO214" s="39"/>
      <c r="AP214" s="39"/>
      <c r="AQ214" s="30"/>
      <c r="AR214" s="26"/>
      <c r="AS214" s="1"/>
    </row>
    <row r="215" spans="1:45" ht="3" customHeight="1">
      <c r="A215" s="61"/>
      <c r="B215" s="1"/>
      <c r="C215" s="1"/>
      <c r="D215" s="1"/>
      <c r="E215" s="61"/>
      <c r="F215" s="29"/>
      <c r="G215" s="29"/>
      <c r="H215" s="27"/>
      <c r="I215" s="27"/>
      <c r="J215" s="27"/>
      <c r="K215" s="27"/>
      <c r="L215" s="27"/>
      <c r="M215" s="32"/>
      <c r="N215" s="27"/>
      <c r="O215" s="27"/>
      <c r="P215" s="32"/>
      <c r="Q215" s="27"/>
      <c r="R215" s="27"/>
      <c r="T215" s="62"/>
      <c r="U215" s="62"/>
      <c r="V215" s="62"/>
      <c r="W215" s="62"/>
      <c r="X215" s="34"/>
      <c r="Y215" s="29"/>
      <c r="Z215" s="29"/>
      <c r="AA215" s="29"/>
      <c r="AB215" s="29"/>
      <c r="AC215" s="27"/>
      <c r="AD215" s="27"/>
      <c r="AJ215" s="63"/>
      <c r="AK215" s="63"/>
      <c r="AL215" s="26"/>
      <c r="AM215" s="26"/>
      <c r="AN215" s="39"/>
      <c r="AO215" s="39"/>
      <c r="AP215" s="39"/>
      <c r="AQ215" s="30"/>
      <c r="AR215" s="26"/>
      <c r="AS215" s="1"/>
    </row>
    <row r="216" spans="1:45" s="26" customFormat="1">
      <c r="A216" s="2"/>
      <c r="B216" s="2"/>
      <c r="C216" s="2"/>
      <c r="D216" s="2"/>
      <c r="E216" s="2"/>
      <c r="F216" s="27"/>
      <c r="G216" s="27"/>
      <c r="H216" s="27"/>
      <c r="I216" s="27"/>
      <c r="J216" s="27"/>
      <c r="K216" s="27"/>
      <c r="L216" s="27"/>
      <c r="M216" s="32"/>
      <c r="N216" s="27"/>
      <c r="O216" s="27"/>
      <c r="P216" s="32"/>
      <c r="Q216" s="27"/>
      <c r="R216" s="27"/>
      <c r="T216" s="62"/>
      <c r="U216" s="62"/>
      <c r="V216" s="62"/>
      <c r="W216" s="62"/>
      <c r="X216" s="34"/>
      <c r="Y216" s="29"/>
      <c r="Z216" s="29"/>
      <c r="AA216" s="29"/>
      <c r="AB216" s="29"/>
      <c r="AC216" s="27"/>
      <c r="AD216" s="27"/>
      <c r="AJ216" s="58"/>
      <c r="AK216" s="58"/>
      <c r="AN216" s="39"/>
      <c r="AO216" s="39"/>
      <c r="AP216" s="39"/>
      <c r="AQ216" s="50"/>
      <c r="AS216" s="1"/>
    </row>
    <row r="217" spans="1:45" s="26" customFormat="1" ht="15">
      <c r="A217" s="60"/>
      <c r="B217" s="60"/>
      <c r="C217" s="60"/>
      <c r="D217" s="60"/>
      <c r="E217" s="60" t="s">
        <v>43</v>
      </c>
      <c r="F217" s="27"/>
      <c r="G217" s="27"/>
      <c r="H217" s="27"/>
      <c r="I217" s="27"/>
      <c r="J217" s="27"/>
      <c r="K217" s="27"/>
      <c r="L217" s="27"/>
      <c r="M217" s="32"/>
      <c r="N217" s="27"/>
      <c r="O217" s="27"/>
      <c r="P217" s="32"/>
      <c r="Q217" s="27"/>
      <c r="R217" s="27"/>
      <c r="S217" s="52" t="str">
        <f>E217</f>
        <v>M50</v>
      </c>
      <c r="T217" s="62"/>
      <c r="U217" s="62"/>
      <c r="V217" s="62"/>
      <c r="W217" s="62"/>
      <c r="X217" s="34"/>
      <c r="Y217" s="29"/>
      <c r="Z217" s="29"/>
      <c r="AA217" s="29"/>
      <c r="AB217" s="29"/>
      <c r="AC217" s="27"/>
      <c r="AD217" s="27"/>
      <c r="AJ217" s="58"/>
      <c r="AK217" s="58"/>
      <c r="AN217" s="39">
        <v>859</v>
      </c>
      <c r="AO217" s="39">
        <v>810</v>
      </c>
      <c r="AP217" s="39">
        <v>781</v>
      </c>
      <c r="AQ217" s="50"/>
      <c r="AS217" s="1"/>
    </row>
    <row r="218" spans="1:45" s="26" customFormat="1" ht="15">
      <c r="A218" s="61">
        <v>1</v>
      </c>
      <c r="B218" s="61">
        <v>1</v>
      </c>
      <c r="C218" s="61"/>
      <c r="D218" s="61"/>
      <c r="E218" s="61" t="s">
        <v>42</v>
      </c>
      <c r="F218" s="29" t="s">
        <v>19</v>
      </c>
      <c r="G218" s="29">
        <v>297</v>
      </c>
      <c r="H218" s="27">
        <v>288</v>
      </c>
      <c r="I218" s="27"/>
      <c r="J218" s="27"/>
      <c r="K218" s="27">
        <v>292</v>
      </c>
      <c r="L218" s="27"/>
      <c r="M218" s="32">
        <f t="shared" ref="M218:M281" si="30">IFERROR(LARGE(G218:L218,1),0)+IF($F$5&gt;=2,IFERROR(LARGE(G218:L218,2),0),0)+IF($F$5&gt;=3,IFERROR(LARGE(G218:L218,3),0),0)+IF($F$5&gt;=4,IFERROR(LARGE(G218:L218,4),0),0)+IF($F$5&gt;=5,IFERROR(LARGE(G218:L218,5),0),0)+IF($F$5&gt;=6,IFERROR(LARGE(G218:L218,6),0),0)</f>
        <v>877</v>
      </c>
      <c r="N218" s="32" t="s">
        <v>1330</v>
      </c>
      <c r="O218" s="32" t="s">
        <v>44</v>
      </c>
      <c r="P218" s="32">
        <f t="shared" ref="P218:P281" si="31">M218-(ROW(M218)-ROW(M$6))/10000</f>
        <v>876.97879999999998</v>
      </c>
      <c r="Q218" s="32">
        <f t="shared" ref="Q218:Q281" si="32">COUNT(G218:L218)</f>
        <v>3</v>
      </c>
      <c r="R218" s="32">
        <f t="shared" ref="R218:R281" ca="1" si="33">IF(AND(Q218=1,OFFSET(F218,0,R$3)&gt;0),"Y",0)</f>
        <v>0</v>
      </c>
      <c r="S218" s="33" t="s">
        <v>43</v>
      </c>
      <c r="T218" s="34">
        <f t="shared" ref="T218:T281" si="34">1-(S218=S217)</f>
        <v>0</v>
      </c>
      <c r="U218" s="34">
        <f t="shared" ref="U218:U281" ca="1" si="35">OFFSET(F218,0,$R$3)</f>
        <v>292</v>
      </c>
      <c r="V218" s="34">
        <f>-SUMPRODUCT((S$6:S217=S218)*(X$6:X217=X218))</f>
        <v>0</v>
      </c>
      <c r="W218" s="34">
        <f>-SUMPRODUCT((S$6:S217=S218)*(X$6:X217=X218)*(B$6:B217&lt;&gt;"NS"))</f>
        <v>0</v>
      </c>
      <c r="X218" s="35">
        <f t="shared" ref="X218:X281" si="36">M218+SUMPRODUCT(Y$4:AD$4,Y218:AD218)</f>
        <v>877.32907999999998</v>
      </c>
      <c r="Y218" s="29">
        <v>297</v>
      </c>
      <c r="Z218" s="27">
        <v>292</v>
      </c>
      <c r="AA218" s="27">
        <v>288</v>
      </c>
      <c r="AB218" s="27"/>
      <c r="AC218" s="27"/>
      <c r="AD218" s="27"/>
      <c r="AF218" s="36">
        <v>0</v>
      </c>
      <c r="AG218" s="36">
        <v>0</v>
      </c>
      <c r="AH218" s="36">
        <v>0</v>
      </c>
      <c r="AI218" s="36">
        <v>0</v>
      </c>
      <c r="AJ218" s="37">
        <v>2</v>
      </c>
      <c r="AK218" s="38">
        <v>585.30360000000007</v>
      </c>
      <c r="AL218" s="39">
        <v>297</v>
      </c>
      <c r="AM218" s="32">
        <v>882</v>
      </c>
      <c r="AN218" s="39" t="s">
        <v>44</v>
      </c>
      <c r="AO218" s="39" t="s">
        <v>80</v>
      </c>
      <c r="AP218" s="39" t="s">
        <v>127</v>
      </c>
      <c r="AQ218" s="50"/>
      <c r="AS218" s="1"/>
    </row>
    <row r="219" spans="1:45" s="26" customFormat="1" ht="15">
      <c r="A219" s="61">
        <v>2</v>
      </c>
      <c r="B219" s="61">
        <v>2</v>
      </c>
      <c r="C219" s="61"/>
      <c r="D219" s="61"/>
      <c r="E219" s="61" t="s">
        <v>48</v>
      </c>
      <c r="F219" s="29" t="s">
        <v>50</v>
      </c>
      <c r="G219" s="29"/>
      <c r="H219" s="27">
        <v>278</v>
      </c>
      <c r="I219" s="27">
        <v>288</v>
      </c>
      <c r="J219" s="27">
        <v>293</v>
      </c>
      <c r="K219" s="27">
        <v>290</v>
      </c>
      <c r="L219" s="27"/>
      <c r="M219" s="32">
        <f t="shared" si="30"/>
        <v>871</v>
      </c>
      <c r="N219" s="32" t="s">
        <v>1330</v>
      </c>
      <c r="O219" s="32" t="s">
        <v>80</v>
      </c>
      <c r="P219" s="32">
        <f t="shared" si="31"/>
        <v>870.9787</v>
      </c>
      <c r="Q219" s="32">
        <f t="shared" si="32"/>
        <v>4</v>
      </c>
      <c r="R219" s="32">
        <f t="shared" ca="1" si="33"/>
        <v>0</v>
      </c>
      <c r="S219" s="33" t="s">
        <v>43</v>
      </c>
      <c r="T219" s="34">
        <f t="shared" si="34"/>
        <v>0</v>
      </c>
      <c r="U219" s="34">
        <f t="shared" ca="1" si="35"/>
        <v>290</v>
      </c>
      <c r="V219" s="34">
        <f>-SUMPRODUCT((S$6:S218=S219)*(X$6:X218=X219))</f>
        <v>0</v>
      </c>
      <c r="W219" s="34">
        <f>-SUMPRODUCT((S$6:S218=S219)*(X$6:X218=X219)*(B$6:B218&lt;&gt;"NS"))</f>
        <v>0</v>
      </c>
      <c r="X219" s="35">
        <f t="shared" si="36"/>
        <v>871.32488000000001</v>
      </c>
      <c r="Y219" s="27">
        <v>293</v>
      </c>
      <c r="Z219" s="27">
        <v>290</v>
      </c>
      <c r="AA219" s="27">
        <v>288</v>
      </c>
      <c r="AB219" s="27">
        <v>278</v>
      </c>
      <c r="AC219" s="29"/>
      <c r="AD219" s="27"/>
      <c r="AF219" s="36">
        <v>0</v>
      </c>
      <c r="AG219" s="36">
        <v>0</v>
      </c>
      <c r="AH219" s="36">
        <v>0</v>
      </c>
      <c r="AI219" s="36">
        <v>0</v>
      </c>
      <c r="AJ219" s="37">
        <v>3</v>
      </c>
      <c r="AK219" s="38">
        <v>859.30398000000014</v>
      </c>
      <c r="AL219" s="39">
        <v>293</v>
      </c>
      <c r="AM219" s="32">
        <v>874</v>
      </c>
      <c r="AN219" s="39" t="s">
        <v>44</v>
      </c>
      <c r="AO219" s="39" t="s">
        <v>80</v>
      </c>
      <c r="AP219" s="39"/>
      <c r="AQ219" s="50"/>
      <c r="AS219" s="1"/>
    </row>
    <row r="220" spans="1:45" s="26" customFormat="1" ht="15">
      <c r="A220" s="61">
        <v>3</v>
      </c>
      <c r="B220" s="61">
        <v>3</v>
      </c>
      <c r="C220" s="61"/>
      <c r="D220" s="61"/>
      <c r="E220" s="61" t="s">
        <v>82</v>
      </c>
      <c r="F220" s="29" t="s">
        <v>84</v>
      </c>
      <c r="G220" s="29">
        <v>266</v>
      </c>
      <c r="H220" s="27">
        <v>271</v>
      </c>
      <c r="I220" s="27">
        <v>273</v>
      </c>
      <c r="J220" s="27"/>
      <c r="K220" s="27">
        <v>276</v>
      </c>
      <c r="L220" s="27"/>
      <c r="M220" s="32">
        <f t="shared" si="30"/>
        <v>820</v>
      </c>
      <c r="N220" s="32" t="s">
        <v>1330</v>
      </c>
      <c r="O220" s="32" t="s">
        <v>127</v>
      </c>
      <c r="P220" s="32">
        <f t="shared" si="31"/>
        <v>819.97860000000003</v>
      </c>
      <c r="Q220" s="32">
        <f t="shared" si="32"/>
        <v>4</v>
      </c>
      <c r="R220" s="32">
        <f t="shared" ca="1" si="33"/>
        <v>0</v>
      </c>
      <c r="S220" s="33" t="s">
        <v>43</v>
      </c>
      <c r="T220" s="34">
        <f t="shared" si="34"/>
        <v>0</v>
      </c>
      <c r="U220" s="34">
        <f t="shared" ca="1" si="35"/>
        <v>276</v>
      </c>
      <c r="V220" s="34">
        <f>-SUMPRODUCT((S$6:S219=S220)*(X$6:X219=X220))</f>
        <v>0</v>
      </c>
      <c r="W220" s="34">
        <f>-SUMPRODUCT((S$6:S219=S220)*(X$6:X219=X220)*(B$6:B219&lt;&gt;"NS"))</f>
        <v>0</v>
      </c>
      <c r="X220" s="35">
        <f t="shared" si="36"/>
        <v>820.30601000000001</v>
      </c>
      <c r="Y220" s="27">
        <v>276</v>
      </c>
      <c r="Z220" s="27">
        <v>273</v>
      </c>
      <c r="AA220" s="27">
        <v>271</v>
      </c>
      <c r="AB220" s="29">
        <v>266</v>
      </c>
      <c r="AC220" s="27"/>
      <c r="AD220" s="27"/>
      <c r="AF220" s="36">
        <v>0</v>
      </c>
      <c r="AG220" s="36">
        <v>0</v>
      </c>
      <c r="AH220" s="36">
        <v>0</v>
      </c>
      <c r="AI220" s="36">
        <v>0</v>
      </c>
      <c r="AJ220" s="37">
        <v>3</v>
      </c>
      <c r="AK220" s="38">
        <v>810.28206</v>
      </c>
      <c r="AL220" s="39">
        <v>273</v>
      </c>
      <c r="AM220" s="32">
        <v>817</v>
      </c>
      <c r="AN220" s="39"/>
      <c r="AO220" s="39" t="s">
        <v>80</v>
      </c>
      <c r="AP220" s="39" t="s">
        <v>127</v>
      </c>
      <c r="AQ220" s="50"/>
      <c r="AS220" s="1"/>
    </row>
    <row r="221" spans="1:45" s="26" customFormat="1" ht="15">
      <c r="A221" s="61">
        <v>4</v>
      </c>
      <c r="B221" s="61">
        <v>4</v>
      </c>
      <c r="C221" s="61"/>
      <c r="D221" s="61"/>
      <c r="E221" s="61" t="s">
        <v>85</v>
      </c>
      <c r="F221" s="29" t="s">
        <v>61</v>
      </c>
      <c r="G221" s="29"/>
      <c r="H221" s="27">
        <v>258</v>
      </c>
      <c r="I221" s="27">
        <v>269</v>
      </c>
      <c r="J221" s="27">
        <v>254</v>
      </c>
      <c r="K221" s="27">
        <v>275</v>
      </c>
      <c r="L221" s="27"/>
      <c r="M221" s="32">
        <f t="shared" si="30"/>
        <v>802</v>
      </c>
      <c r="N221" s="32" t="s">
        <v>1330</v>
      </c>
      <c r="O221" s="32"/>
      <c r="P221" s="32">
        <f t="shared" si="31"/>
        <v>801.97850000000005</v>
      </c>
      <c r="Q221" s="32">
        <f t="shared" si="32"/>
        <v>4</v>
      </c>
      <c r="R221" s="32">
        <f t="shared" ca="1" si="33"/>
        <v>0</v>
      </c>
      <c r="S221" s="33" t="s">
        <v>43</v>
      </c>
      <c r="T221" s="34">
        <f t="shared" si="34"/>
        <v>0</v>
      </c>
      <c r="U221" s="34">
        <f t="shared" ca="1" si="35"/>
        <v>275</v>
      </c>
      <c r="V221" s="34">
        <f>-SUMPRODUCT((S$6:S220=S221)*(X$6:X220=X221))</f>
        <v>0</v>
      </c>
      <c r="W221" s="34">
        <f>-SUMPRODUCT((S$6:S220=S221)*(X$6:X220=X221)*(B$6:B220&lt;&gt;"NS"))</f>
        <v>0</v>
      </c>
      <c r="X221" s="35">
        <f t="shared" si="36"/>
        <v>802.30448000000001</v>
      </c>
      <c r="Y221" s="27">
        <v>275</v>
      </c>
      <c r="Z221" s="27">
        <v>269</v>
      </c>
      <c r="AA221" s="27">
        <v>258</v>
      </c>
      <c r="AB221" s="27">
        <v>254</v>
      </c>
      <c r="AC221" s="29"/>
      <c r="AD221" s="27"/>
      <c r="AF221" s="36">
        <v>0</v>
      </c>
      <c r="AG221" s="36">
        <v>0</v>
      </c>
      <c r="AH221" s="36">
        <v>0</v>
      </c>
      <c r="AI221" s="36">
        <v>0</v>
      </c>
      <c r="AJ221" s="37">
        <v>3</v>
      </c>
      <c r="AK221" s="38">
        <v>781.27653999999995</v>
      </c>
      <c r="AL221" s="39">
        <v>269</v>
      </c>
      <c r="AM221" s="32">
        <v>796</v>
      </c>
      <c r="AN221" s="39"/>
      <c r="AO221" s="39"/>
      <c r="AP221" s="39" t="s">
        <v>127</v>
      </c>
      <c r="AQ221" s="50"/>
      <c r="AS221" s="1"/>
    </row>
    <row r="222" spans="1:45" s="26" customFormat="1" ht="15">
      <c r="A222" s="61">
        <v>5</v>
      </c>
      <c r="B222" s="61">
        <v>5</v>
      </c>
      <c r="C222" s="61"/>
      <c r="D222" s="61"/>
      <c r="E222" s="61" t="s">
        <v>107</v>
      </c>
      <c r="F222" s="29" t="s">
        <v>57</v>
      </c>
      <c r="G222" s="29">
        <v>235</v>
      </c>
      <c r="H222" s="27">
        <v>230</v>
      </c>
      <c r="I222" s="27">
        <v>256</v>
      </c>
      <c r="J222" s="27">
        <v>256</v>
      </c>
      <c r="K222" s="27">
        <v>265</v>
      </c>
      <c r="L222" s="27"/>
      <c r="M222" s="32">
        <f t="shared" si="30"/>
        <v>777</v>
      </c>
      <c r="N222" s="32" t="s">
        <v>1330</v>
      </c>
      <c r="O222" s="32"/>
      <c r="P222" s="32">
        <f t="shared" si="31"/>
        <v>776.97839999999997</v>
      </c>
      <c r="Q222" s="32">
        <f t="shared" si="32"/>
        <v>5</v>
      </c>
      <c r="R222" s="32">
        <f t="shared" ca="1" si="33"/>
        <v>0</v>
      </c>
      <c r="S222" s="33" t="s">
        <v>43</v>
      </c>
      <c r="T222" s="34">
        <f t="shared" si="34"/>
        <v>0</v>
      </c>
      <c r="U222" s="34">
        <f t="shared" ca="1" si="35"/>
        <v>265</v>
      </c>
      <c r="V222" s="34">
        <f>-SUMPRODUCT((S$6:S221=S222)*(X$6:X221=X222))</f>
        <v>0</v>
      </c>
      <c r="W222" s="34">
        <f>-SUMPRODUCT((S$6:S221=S222)*(X$6:X221=X222)*(B$6:B221&lt;&gt;"NS"))</f>
        <v>0</v>
      </c>
      <c r="X222" s="35">
        <f t="shared" si="36"/>
        <v>777.29315999999994</v>
      </c>
      <c r="Y222" s="27">
        <v>265</v>
      </c>
      <c r="Z222" s="27">
        <v>256</v>
      </c>
      <c r="AA222" s="27">
        <v>256</v>
      </c>
      <c r="AB222" s="29">
        <v>235</v>
      </c>
      <c r="AC222" s="27">
        <v>230</v>
      </c>
      <c r="AD222" s="27"/>
      <c r="AF222" s="36">
        <v>0</v>
      </c>
      <c r="AG222" s="36">
        <v>0</v>
      </c>
      <c r="AH222" s="36">
        <v>0</v>
      </c>
      <c r="AI222" s="36">
        <v>0</v>
      </c>
      <c r="AJ222" s="37">
        <v>4</v>
      </c>
      <c r="AK222" s="38">
        <v>747.26288</v>
      </c>
      <c r="AL222" s="39">
        <v>256</v>
      </c>
      <c r="AM222" s="32">
        <v>768</v>
      </c>
      <c r="AN222" s="39"/>
      <c r="AO222" s="39"/>
      <c r="AP222" s="39"/>
      <c r="AQ222" s="50"/>
      <c r="AS222" s="1"/>
    </row>
    <row r="223" spans="1:45" s="26" customFormat="1" ht="15">
      <c r="A223" s="61">
        <v>6</v>
      </c>
      <c r="B223" s="61">
        <v>6</v>
      </c>
      <c r="C223" s="61"/>
      <c r="D223" s="61"/>
      <c r="E223" s="61" t="s">
        <v>554</v>
      </c>
      <c r="F223" s="29" t="s">
        <v>38</v>
      </c>
      <c r="G223" s="29">
        <v>244</v>
      </c>
      <c r="H223" s="27">
        <v>248</v>
      </c>
      <c r="I223" s="27">
        <v>261</v>
      </c>
      <c r="J223" s="27">
        <v>264</v>
      </c>
      <c r="K223" s="27"/>
      <c r="L223" s="27"/>
      <c r="M223" s="32">
        <f t="shared" si="30"/>
        <v>773</v>
      </c>
      <c r="N223" s="32" t="s">
        <v>1330</v>
      </c>
      <c r="O223" s="32"/>
      <c r="P223" s="32">
        <f t="shared" si="31"/>
        <v>772.97829999999999</v>
      </c>
      <c r="Q223" s="32">
        <f t="shared" si="32"/>
        <v>4</v>
      </c>
      <c r="R223" s="32">
        <f t="shared" ca="1" si="33"/>
        <v>0</v>
      </c>
      <c r="S223" s="33" t="s">
        <v>43</v>
      </c>
      <c r="T223" s="34">
        <f t="shared" si="34"/>
        <v>0</v>
      </c>
      <c r="U223" s="34">
        <f t="shared" ca="1" si="35"/>
        <v>0</v>
      </c>
      <c r="V223" s="34">
        <f>-SUMPRODUCT((S$6:S222=S223)*(X$6:X222=X223))</f>
        <v>0</v>
      </c>
      <c r="W223" s="34">
        <f>-SUMPRODUCT((S$6:S222=S223)*(X$6:X222=X223)*(B$6:B222&lt;&gt;"NS"))</f>
        <v>0</v>
      </c>
      <c r="X223" s="35">
        <f t="shared" si="36"/>
        <v>773.29258000000004</v>
      </c>
      <c r="Y223" s="27">
        <v>264</v>
      </c>
      <c r="Z223" s="27">
        <v>261</v>
      </c>
      <c r="AA223" s="27">
        <v>248</v>
      </c>
      <c r="AB223" s="29">
        <v>244</v>
      </c>
      <c r="AC223" s="27"/>
      <c r="AD223" s="27"/>
      <c r="AF223" s="36">
        <v>0</v>
      </c>
      <c r="AG223" s="36">
        <v>0</v>
      </c>
      <c r="AH223" s="36">
        <v>0</v>
      </c>
      <c r="AI223" s="36">
        <v>0</v>
      </c>
      <c r="AJ223" s="37">
        <v>4</v>
      </c>
      <c r="AK223" s="38">
        <v>773.27192400000001</v>
      </c>
      <c r="AL223" s="39">
        <v>264</v>
      </c>
      <c r="AM223" s="32">
        <v>789</v>
      </c>
      <c r="AN223" s="39"/>
      <c r="AO223" s="39"/>
      <c r="AP223" s="39" t="s">
        <v>127</v>
      </c>
      <c r="AQ223" s="50"/>
      <c r="AS223" s="1"/>
    </row>
    <row r="224" spans="1:45" s="26" customFormat="1" ht="15">
      <c r="A224" s="61">
        <v>7</v>
      </c>
      <c r="B224" s="61">
        <v>7</v>
      </c>
      <c r="C224" s="61"/>
      <c r="D224" s="61"/>
      <c r="E224" s="61" t="s">
        <v>126</v>
      </c>
      <c r="F224" s="29" t="s">
        <v>19</v>
      </c>
      <c r="G224" s="29">
        <v>261</v>
      </c>
      <c r="H224" s="27">
        <v>254</v>
      </c>
      <c r="I224" s="27"/>
      <c r="J224" s="27"/>
      <c r="K224" s="27">
        <v>256</v>
      </c>
      <c r="L224" s="27"/>
      <c r="M224" s="32">
        <f t="shared" si="30"/>
        <v>771</v>
      </c>
      <c r="N224" s="32" t="s">
        <v>1330</v>
      </c>
      <c r="O224" s="32"/>
      <c r="P224" s="32">
        <f t="shared" si="31"/>
        <v>770.97820000000002</v>
      </c>
      <c r="Q224" s="32">
        <f t="shared" si="32"/>
        <v>3</v>
      </c>
      <c r="R224" s="32">
        <f t="shared" ca="1" si="33"/>
        <v>0</v>
      </c>
      <c r="S224" s="33" t="s">
        <v>43</v>
      </c>
      <c r="T224" s="34">
        <f t="shared" si="34"/>
        <v>0</v>
      </c>
      <c r="U224" s="34">
        <f t="shared" ca="1" si="35"/>
        <v>256</v>
      </c>
      <c r="V224" s="34">
        <f>-SUMPRODUCT((S$6:S223=S224)*(X$6:X223=X224))</f>
        <v>0</v>
      </c>
      <c r="W224" s="34">
        <f>-SUMPRODUCT((S$6:S223=S224)*(X$6:X223=X224)*(B$6:B223&lt;&gt;"NS"))</f>
        <v>0</v>
      </c>
      <c r="X224" s="35">
        <f t="shared" si="36"/>
        <v>771.28913999999997</v>
      </c>
      <c r="Y224" s="29">
        <v>261</v>
      </c>
      <c r="Z224" s="27">
        <v>256</v>
      </c>
      <c r="AA224" s="27">
        <v>254</v>
      </c>
      <c r="AB224" s="27"/>
      <c r="AC224" s="27"/>
      <c r="AD224" s="27"/>
      <c r="AF224" s="36">
        <v>0</v>
      </c>
      <c r="AG224" s="36">
        <v>0</v>
      </c>
      <c r="AH224" s="36">
        <v>0</v>
      </c>
      <c r="AI224" s="36">
        <v>0</v>
      </c>
      <c r="AJ224" s="37">
        <v>2</v>
      </c>
      <c r="AK224" s="38">
        <v>515.26339999999993</v>
      </c>
      <c r="AL224" s="39">
        <v>261</v>
      </c>
      <c r="AM224" s="32">
        <v>776</v>
      </c>
      <c r="AN224" s="39"/>
      <c r="AO224" s="39"/>
      <c r="AP224" s="39"/>
      <c r="AQ224" s="50"/>
      <c r="AS224" s="1"/>
    </row>
    <row r="225" spans="1:45" s="26" customFormat="1" ht="15">
      <c r="A225" s="61">
        <v>8</v>
      </c>
      <c r="B225" s="61">
        <v>8</v>
      </c>
      <c r="C225" s="61"/>
      <c r="D225" s="61"/>
      <c r="E225" s="61" t="s">
        <v>555</v>
      </c>
      <c r="F225" s="29" t="s">
        <v>61</v>
      </c>
      <c r="G225" s="29">
        <v>254</v>
      </c>
      <c r="H225" s="27">
        <v>236</v>
      </c>
      <c r="I225" s="27">
        <v>267</v>
      </c>
      <c r="J225" s="27">
        <v>249</v>
      </c>
      <c r="K225" s="27"/>
      <c r="L225" s="27"/>
      <c r="M225" s="32">
        <f t="shared" si="30"/>
        <v>770</v>
      </c>
      <c r="N225" s="32" t="s">
        <v>1330</v>
      </c>
      <c r="O225" s="32"/>
      <c r="P225" s="32">
        <f t="shared" si="31"/>
        <v>769.97810000000004</v>
      </c>
      <c r="Q225" s="32">
        <f t="shared" si="32"/>
        <v>4</v>
      </c>
      <c r="R225" s="32">
        <f t="shared" ca="1" si="33"/>
        <v>0</v>
      </c>
      <c r="S225" s="33" t="s">
        <v>43</v>
      </c>
      <c r="T225" s="34">
        <f t="shared" si="34"/>
        <v>0</v>
      </c>
      <c r="U225" s="34">
        <f t="shared" ca="1" si="35"/>
        <v>0</v>
      </c>
      <c r="V225" s="34">
        <f>-SUMPRODUCT((S$6:S224=S225)*(X$6:X224=X225))</f>
        <v>0</v>
      </c>
      <c r="W225" s="34">
        <f>-SUMPRODUCT((S$6:S224=S225)*(X$6:X224=X225)*(B$6:B224&lt;&gt;"NS"))</f>
        <v>0</v>
      </c>
      <c r="X225" s="35">
        <f t="shared" si="36"/>
        <v>770.29489000000001</v>
      </c>
      <c r="Y225" s="27">
        <v>267</v>
      </c>
      <c r="Z225" s="29">
        <v>254</v>
      </c>
      <c r="AA225" s="27">
        <v>249</v>
      </c>
      <c r="AB225" s="27">
        <v>236</v>
      </c>
      <c r="AC225" s="27"/>
      <c r="AD225" s="27"/>
      <c r="AF225" s="36">
        <v>0</v>
      </c>
      <c r="AG225" s="36">
        <v>0</v>
      </c>
      <c r="AH225" s="36">
        <v>0</v>
      </c>
      <c r="AI225" s="36">
        <v>0</v>
      </c>
      <c r="AJ225" s="37">
        <v>4</v>
      </c>
      <c r="AK225" s="38">
        <v>770.27412600000002</v>
      </c>
      <c r="AL225" s="39">
        <v>267</v>
      </c>
      <c r="AM225" s="32">
        <v>788</v>
      </c>
      <c r="AN225" s="39"/>
      <c r="AO225" s="39"/>
      <c r="AP225" s="39" t="s">
        <v>127</v>
      </c>
      <c r="AQ225" s="50"/>
      <c r="AS225" s="1"/>
    </row>
    <row r="226" spans="1:45" s="26" customFormat="1" ht="15">
      <c r="A226" s="61">
        <v>9</v>
      </c>
      <c r="B226" s="61">
        <v>9</v>
      </c>
      <c r="C226" s="61"/>
      <c r="D226" s="61"/>
      <c r="E226" s="61" t="s">
        <v>98</v>
      </c>
      <c r="F226" s="29" t="s">
        <v>53</v>
      </c>
      <c r="G226" s="29">
        <v>249</v>
      </c>
      <c r="H226" s="27">
        <v>242</v>
      </c>
      <c r="I226" s="27"/>
      <c r="J226" s="27"/>
      <c r="K226" s="27">
        <v>270</v>
      </c>
      <c r="L226" s="27"/>
      <c r="M226" s="32">
        <f t="shared" si="30"/>
        <v>761</v>
      </c>
      <c r="N226" s="32" t="s">
        <v>1330</v>
      </c>
      <c r="O226" s="32"/>
      <c r="P226" s="32">
        <f t="shared" si="31"/>
        <v>760.97799999999995</v>
      </c>
      <c r="Q226" s="32">
        <f t="shared" si="32"/>
        <v>3</v>
      </c>
      <c r="R226" s="32">
        <f t="shared" ca="1" si="33"/>
        <v>0</v>
      </c>
      <c r="S226" s="33" t="s">
        <v>43</v>
      </c>
      <c r="T226" s="34">
        <f t="shared" si="34"/>
        <v>0</v>
      </c>
      <c r="U226" s="34">
        <f t="shared" ca="1" si="35"/>
        <v>270</v>
      </c>
      <c r="V226" s="34">
        <f>-SUMPRODUCT((S$6:S225=S226)*(X$6:X225=X226))</f>
        <v>0</v>
      </c>
      <c r="W226" s="34">
        <f>-SUMPRODUCT((S$6:S225=S226)*(X$6:X225=X226)*(B$6:B225&lt;&gt;"NS"))</f>
        <v>0</v>
      </c>
      <c r="X226" s="35">
        <f t="shared" si="36"/>
        <v>761.29732000000001</v>
      </c>
      <c r="Y226" s="27">
        <v>270</v>
      </c>
      <c r="Z226" s="29">
        <v>249</v>
      </c>
      <c r="AA226" s="27">
        <v>242</v>
      </c>
      <c r="AB226" s="27"/>
      <c r="AC226" s="27"/>
      <c r="AD226" s="27"/>
      <c r="AF226" s="36">
        <v>0</v>
      </c>
      <c r="AG226" s="36">
        <v>0</v>
      </c>
      <c r="AH226" s="36">
        <v>0</v>
      </c>
      <c r="AI226" s="36">
        <v>0</v>
      </c>
      <c r="AJ226" s="37">
        <v>2</v>
      </c>
      <c r="AK226" s="38">
        <v>491.25010000000003</v>
      </c>
      <c r="AL226" s="39">
        <v>249</v>
      </c>
      <c r="AM226" s="32">
        <v>740</v>
      </c>
      <c r="AN226" s="39"/>
      <c r="AO226" s="39"/>
      <c r="AP226" s="39"/>
      <c r="AQ226" s="50"/>
      <c r="AS226" s="1"/>
    </row>
    <row r="227" spans="1:45" s="26" customFormat="1" ht="15">
      <c r="A227" s="61">
        <v>10</v>
      </c>
      <c r="B227" s="61">
        <v>10</v>
      </c>
      <c r="C227" s="61"/>
      <c r="D227" s="61"/>
      <c r="E227" s="61" t="s">
        <v>556</v>
      </c>
      <c r="F227" s="29" t="s">
        <v>19</v>
      </c>
      <c r="G227" s="29">
        <v>245</v>
      </c>
      <c r="H227" s="27">
        <v>243</v>
      </c>
      <c r="I227" s="27">
        <v>265</v>
      </c>
      <c r="J227" s="27"/>
      <c r="K227" s="27"/>
      <c r="L227" s="27"/>
      <c r="M227" s="32">
        <f t="shared" si="30"/>
        <v>753</v>
      </c>
      <c r="N227" s="32" t="s">
        <v>1330</v>
      </c>
      <c r="O227" s="32"/>
      <c r="P227" s="32">
        <f t="shared" si="31"/>
        <v>752.97789999999998</v>
      </c>
      <c r="Q227" s="32">
        <f t="shared" si="32"/>
        <v>3</v>
      </c>
      <c r="R227" s="32">
        <f t="shared" ca="1" si="33"/>
        <v>0</v>
      </c>
      <c r="S227" s="33" t="s">
        <v>43</v>
      </c>
      <c r="T227" s="34">
        <f t="shared" si="34"/>
        <v>0</v>
      </c>
      <c r="U227" s="34">
        <f t="shared" ca="1" si="35"/>
        <v>0</v>
      </c>
      <c r="V227" s="34">
        <f>-SUMPRODUCT((S$6:S226=S227)*(X$6:X226=X227))</f>
        <v>0</v>
      </c>
      <c r="W227" s="34">
        <f>-SUMPRODUCT((S$6:S226=S227)*(X$6:X226=X227)*(B$6:B226&lt;&gt;"NS"))</f>
        <v>0</v>
      </c>
      <c r="X227" s="35">
        <f t="shared" si="36"/>
        <v>753.29192999999998</v>
      </c>
      <c r="Y227" s="27">
        <v>265</v>
      </c>
      <c r="Z227" s="29">
        <v>245</v>
      </c>
      <c r="AA227" s="27">
        <v>243</v>
      </c>
      <c r="AB227" s="27"/>
      <c r="AC227" s="27"/>
      <c r="AD227" s="27"/>
      <c r="AF227" s="36">
        <v>0</v>
      </c>
      <c r="AG227" s="36">
        <v>0</v>
      </c>
      <c r="AH227" s="36">
        <v>0</v>
      </c>
      <c r="AI227" s="36">
        <v>0</v>
      </c>
      <c r="AJ227" s="37">
        <v>3</v>
      </c>
      <c r="AK227" s="38">
        <v>753.27082999999993</v>
      </c>
      <c r="AL227" s="39">
        <v>265</v>
      </c>
      <c r="AM227" s="32">
        <v>775</v>
      </c>
      <c r="AN227" s="39"/>
      <c r="AO227" s="39"/>
      <c r="AP227" s="39"/>
      <c r="AQ227" s="50"/>
      <c r="AS227" s="1"/>
    </row>
    <row r="228" spans="1:45" s="26" customFormat="1" ht="15">
      <c r="A228" s="61">
        <v>11</v>
      </c>
      <c r="B228" s="61">
        <v>11</v>
      </c>
      <c r="C228" s="61"/>
      <c r="D228" s="61"/>
      <c r="E228" s="61" t="s">
        <v>116</v>
      </c>
      <c r="F228" s="29" t="s">
        <v>118</v>
      </c>
      <c r="G228" s="29">
        <v>227</v>
      </c>
      <c r="H228" s="27">
        <v>207</v>
      </c>
      <c r="I228" s="27">
        <v>243</v>
      </c>
      <c r="J228" s="27">
        <v>246</v>
      </c>
      <c r="K228" s="27">
        <v>262</v>
      </c>
      <c r="L228" s="27"/>
      <c r="M228" s="32">
        <f t="shared" si="30"/>
        <v>751</v>
      </c>
      <c r="N228" s="32" t="s">
        <v>1330</v>
      </c>
      <c r="O228" s="32"/>
      <c r="P228" s="32">
        <f t="shared" si="31"/>
        <v>750.9778</v>
      </c>
      <c r="Q228" s="32">
        <f t="shared" si="32"/>
        <v>5</v>
      </c>
      <c r="R228" s="32">
        <f t="shared" ca="1" si="33"/>
        <v>0</v>
      </c>
      <c r="S228" s="33" t="s">
        <v>43</v>
      </c>
      <c r="T228" s="34">
        <f t="shared" si="34"/>
        <v>0</v>
      </c>
      <c r="U228" s="34">
        <f t="shared" ca="1" si="35"/>
        <v>262</v>
      </c>
      <c r="V228" s="34">
        <f>-SUMPRODUCT((S$6:S227=S228)*(X$6:X227=X228))</f>
        <v>0</v>
      </c>
      <c r="W228" s="34">
        <f>-SUMPRODUCT((S$6:S227=S228)*(X$6:X227=X228)*(B$6:B227&lt;&gt;"NS"))</f>
        <v>0</v>
      </c>
      <c r="X228" s="35">
        <f t="shared" si="36"/>
        <v>751.28903000000003</v>
      </c>
      <c r="Y228" s="27">
        <v>262</v>
      </c>
      <c r="Z228" s="27">
        <v>246</v>
      </c>
      <c r="AA228" s="27">
        <v>243</v>
      </c>
      <c r="AB228" s="29">
        <v>227</v>
      </c>
      <c r="AC228" s="27">
        <v>207</v>
      </c>
      <c r="AD228" s="27"/>
      <c r="AF228" s="36">
        <v>0</v>
      </c>
      <c r="AG228" s="36">
        <v>0</v>
      </c>
      <c r="AH228" s="36">
        <v>0</v>
      </c>
      <c r="AI228" s="36">
        <v>0</v>
      </c>
      <c r="AJ228" s="37">
        <v>4</v>
      </c>
      <c r="AK228" s="38">
        <v>716.25127700000007</v>
      </c>
      <c r="AL228" s="39">
        <v>246</v>
      </c>
      <c r="AM228" s="32">
        <v>735</v>
      </c>
      <c r="AN228" s="39"/>
      <c r="AO228" s="39"/>
      <c r="AP228" s="39"/>
      <c r="AQ228" s="50"/>
      <c r="AS228" s="1"/>
    </row>
    <row r="229" spans="1:45" s="26" customFormat="1" ht="15">
      <c r="A229" s="61">
        <v>12</v>
      </c>
      <c r="B229" s="61">
        <v>12</v>
      </c>
      <c r="C229" s="61"/>
      <c r="D229" s="61"/>
      <c r="E229" s="61" t="s">
        <v>557</v>
      </c>
      <c r="F229" s="29" t="s">
        <v>61</v>
      </c>
      <c r="G229" s="29">
        <v>234</v>
      </c>
      <c r="H229" s="27"/>
      <c r="I229" s="27">
        <v>253</v>
      </c>
      <c r="J229" s="27">
        <v>262</v>
      </c>
      <c r="K229" s="27"/>
      <c r="L229" s="27"/>
      <c r="M229" s="32">
        <f t="shared" si="30"/>
        <v>749</v>
      </c>
      <c r="N229" s="32" t="s">
        <v>1330</v>
      </c>
      <c r="O229" s="32"/>
      <c r="P229" s="32">
        <f t="shared" si="31"/>
        <v>748.97770000000003</v>
      </c>
      <c r="Q229" s="32">
        <f t="shared" si="32"/>
        <v>3</v>
      </c>
      <c r="R229" s="32">
        <f t="shared" ca="1" si="33"/>
        <v>0</v>
      </c>
      <c r="S229" s="33" t="s">
        <v>43</v>
      </c>
      <c r="T229" s="34">
        <f t="shared" si="34"/>
        <v>0</v>
      </c>
      <c r="U229" s="34">
        <f t="shared" ca="1" si="35"/>
        <v>0</v>
      </c>
      <c r="V229" s="34">
        <f>-SUMPRODUCT((S$6:S228=S229)*(X$6:X228=X229))</f>
        <v>0</v>
      </c>
      <c r="W229" s="34">
        <f>-SUMPRODUCT((S$6:S228=S229)*(X$6:X228=X229)*(B$6:B228&lt;&gt;"NS"))</f>
        <v>0</v>
      </c>
      <c r="X229" s="35">
        <f t="shared" si="36"/>
        <v>749.28963999999996</v>
      </c>
      <c r="Y229" s="27">
        <v>262</v>
      </c>
      <c r="Z229" s="27">
        <v>253</v>
      </c>
      <c r="AA229" s="29">
        <v>234</v>
      </c>
      <c r="AB229" s="27"/>
      <c r="AC229" s="27"/>
      <c r="AD229" s="27"/>
      <c r="AF229" s="36">
        <v>0</v>
      </c>
      <c r="AG229" s="36">
        <v>0</v>
      </c>
      <c r="AH229" s="36">
        <v>0</v>
      </c>
      <c r="AI229" s="36">
        <v>0</v>
      </c>
      <c r="AJ229" s="37">
        <v>3</v>
      </c>
      <c r="AK229" s="38">
        <v>749.26843999999994</v>
      </c>
      <c r="AL229" s="39">
        <v>262</v>
      </c>
      <c r="AM229" s="32">
        <v>777</v>
      </c>
      <c r="AN229" s="39"/>
      <c r="AO229" s="39"/>
      <c r="AP229" s="39"/>
      <c r="AQ229" s="50"/>
      <c r="AS229" s="1"/>
    </row>
    <row r="230" spans="1:45" s="26" customFormat="1" ht="15">
      <c r="A230" s="61">
        <v>13</v>
      </c>
      <c r="B230" s="61">
        <v>13</v>
      </c>
      <c r="C230" s="61"/>
      <c r="D230" s="61"/>
      <c r="E230" s="61" t="s">
        <v>558</v>
      </c>
      <c r="F230" s="29" t="s">
        <v>57</v>
      </c>
      <c r="G230" s="29">
        <v>236</v>
      </c>
      <c r="H230" s="27">
        <v>228</v>
      </c>
      <c r="I230" s="27">
        <v>260</v>
      </c>
      <c r="J230" s="27"/>
      <c r="K230" s="27"/>
      <c r="L230" s="27"/>
      <c r="M230" s="32">
        <f t="shared" si="30"/>
        <v>724</v>
      </c>
      <c r="N230" s="32" t="s">
        <v>1330</v>
      </c>
      <c r="O230" s="32"/>
      <c r="P230" s="32">
        <f t="shared" si="31"/>
        <v>723.97760000000005</v>
      </c>
      <c r="Q230" s="32">
        <f t="shared" si="32"/>
        <v>3</v>
      </c>
      <c r="R230" s="32">
        <f t="shared" ca="1" si="33"/>
        <v>0</v>
      </c>
      <c r="S230" s="33" t="s">
        <v>43</v>
      </c>
      <c r="T230" s="34">
        <f t="shared" si="34"/>
        <v>0</v>
      </c>
      <c r="U230" s="34">
        <f t="shared" ca="1" si="35"/>
        <v>0</v>
      </c>
      <c r="V230" s="34">
        <f>-SUMPRODUCT((S$6:S229=S230)*(X$6:X229=X230))</f>
        <v>0</v>
      </c>
      <c r="W230" s="34">
        <f>-SUMPRODUCT((S$6:S229=S230)*(X$6:X229=X230)*(B$6:B229&lt;&gt;"NS"))</f>
        <v>0</v>
      </c>
      <c r="X230" s="35">
        <f t="shared" si="36"/>
        <v>724.28588000000002</v>
      </c>
      <c r="Y230" s="27">
        <v>260</v>
      </c>
      <c r="Z230" s="29">
        <v>236</v>
      </c>
      <c r="AA230" s="27">
        <v>228</v>
      </c>
      <c r="AB230" s="27"/>
      <c r="AC230" s="27"/>
      <c r="AD230" s="27"/>
      <c r="AF230" s="36">
        <v>0</v>
      </c>
      <c r="AG230" s="36">
        <v>0</v>
      </c>
      <c r="AH230" s="36">
        <v>0</v>
      </c>
      <c r="AI230" s="36">
        <v>0</v>
      </c>
      <c r="AJ230" s="37">
        <v>3</v>
      </c>
      <c r="AK230" s="38">
        <v>724.26448000000005</v>
      </c>
      <c r="AL230" s="39">
        <v>260</v>
      </c>
      <c r="AM230" s="32">
        <v>756</v>
      </c>
      <c r="AN230" s="39"/>
      <c r="AO230" s="39"/>
      <c r="AP230" s="39"/>
      <c r="AQ230" s="50"/>
      <c r="AS230" s="1"/>
    </row>
    <row r="231" spans="1:45" s="26" customFormat="1" ht="15">
      <c r="A231" s="61">
        <v>14</v>
      </c>
      <c r="B231" s="61">
        <v>14</v>
      </c>
      <c r="C231" s="61"/>
      <c r="D231" s="61"/>
      <c r="E231" s="61" t="s">
        <v>559</v>
      </c>
      <c r="F231" s="29" t="s">
        <v>485</v>
      </c>
      <c r="G231" s="29">
        <v>231</v>
      </c>
      <c r="H231" s="27">
        <v>231</v>
      </c>
      <c r="I231" s="27">
        <v>248</v>
      </c>
      <c r="J231" s="27"/>
      <c r="K231" s="27"/>
      <c r="L231" s="27"/>
      <c r="M231" s="32">
        <f t="shared" si="30"/>
        <v>710</v>
      </c>
      <c r="N231" s="32" t="s">
        <v>1330</v>
      </c>
      <c r="O231" s="32"/>
      <c r="P231" s="32">
        <f t="shared" si="31"/>
        <v>709.97749999999996</v>
      </c>
      <c r="Q231" s="32">
        <f t="shared" si="32"/>
        <v>3</v>
      </c>
      <c r="R231" s="32">
        <f t="shared" ca="1" si="33"/>
        <v>0</v>
      </c>
      <c r="S231" s="33" t="s">
        <v>43</v>
      </c>
      <c r="T231" s="34">
        <f t="shared" si="34"/>
        <v>0</v>
      </c>
      <c r="U231" s="34">
        <f t="shared" ca="1" si="35"/>
        <v>0</v>
      </c>
      <c r="V231" s="34">
        <f>-SUMPRODUCT((S$6:S230=S231)*(X$6:X230=X231))</f>
        <v>0</v>
      </c>
      <c r="W231" s="34">
        <f>-SUMPRODUCT((S$6:S230=S231)*(X$6:X230=X231)*(B$6:B230&lt;&gt;"NS"))</f>
        <v>0</v>
      </c>
      <c r="X231" s="35">
        <f t="shared" si="36"/>
        <v>710.27341000000001</v>
      </c>
      <c r="Y231" s="27">
        <v>248</v>
      </c>
      <c r="Z231" s="29">
        <v>231</v>
      </c>
      <c r="AA231" s="27">
        <v>231</v>
      </c>
      <c r="AB231" s="27"/>
      <c r="AC231" s="27"/>
      <c r="AD231" s="27"/>
      <c r="AF231" s="36">
        <v>0</v>
      </c>
      <c r="AG231" s="36">
        <v>0</v>
      </c>
      <c r="AH231" s="36">
        <v>0</v>
      </c>
      <c r="AI231" s="36">
        <v>0</v>
      </c>
      <c r="AJ231" s="37">
        <v>3</v>
      </c>
      <c r="AK231" s="38">
        <v>710.25180999999998</v>
      </c>
      <c r="AL231" s="39">
        <v>248</v>
      </c>
      <c r="AM231" s="32">
        <v>727</v>
      </c>
      <c r="AN231" s="39"/>
      <c r="AO231" s="39"/>
      <c r="AP231" s="39"/>
      <c r="AQ231" s="50"/>
      <c r="AS231" s="1"/>
    </row>
    <row r="232" spans="1:45" s="26" customFormat="1" ht="15">
      <c r="A232" s="61">
        <v>15</v>
      </c>
      <c r="B232" s="61">
        <v>15</v>
      </c>
      <c r="C232" s="61"/>
      <c r="D232" s="61"/>
      <c r="E232" s="61" t="s">
        <v>121</v>
      </c>
      <c r="F232" s="29" t="s">
        <v>118</v>
      </c>
      <c r="G232" s="29">
        <v>203</v>
      </c>
      <c r="H232" s="27">
        <v>201</v>
      </c>
      <c r="I232" s="27">
        <v>225</v>
      </c>
      <c r="J232" s="27">
        <v>218</v>
      </c>
      <c r="K232" s="27">
        <v>260</v>
      </c>
      <c r="L232" s="27"/>
      <c r="M232" s="32">
        <f t="shared" si="30"/>
        <v>703</v>
      </c>
      <c r="N232" s="32" t="s">
        <v>1330</v>
      </c>
      <c r="O232" s="32"/>
      <c r="P232" s="32">
        <f t="shared" si="31"/>
        <v>702.97739999999999</v>
      </c>
      <c r="Q232" s="32">
        <f t="shared" si="32"/>
        <v>5</v>
      </c>
      <c r="R232" s="32">
        <f t="shared" ca="1" si="33"/>
        <v>0</v>
      </c>
      <c r="S232" s="33" t="s">
        <v>43</v>
      </c>
      <c r="T232" s="34">
        <f t="shared" si="34"/>
        <v>0</v>
      </c>
      <c r="U232" s="34">
        <f t="shared" ca="1" si="35"/>
        <v>260</v>
      </c>
      <c r="V232" s="34">
        <f>-SUMPRODUCT((S$6:S231=S232)*(X$6:X231=X232))</f>
        <v>0</v>
      </c>
      <c r="W232" s="34">
        <f>-SUMPRODUCT((S$6:S231=S232)*(X$6:X231=X232)*(B$6:B231&lt;&gt;"NS"))</f>
        <v>0</v>
      </c>
      <c r="X232" s="35">
        <f t="shared" si="36"/>
        <v>703.28467999999998</v>
      </c>
      <c r="Y232" s="27">
        <v>260</v>
      </c>
      <c r="Z232" s="27">
        <v>225</v>
      </c>
      <c r="AA232" s="27">
        <v>218</v>
      </c>
      <c r="AB232" s="29">
        <v>203</v>
      </c>
      <c r="AC232" s="27">
        <v>201</v>
      </c>
      <c r="AD232" s="27"/>
      <c r="AF232" s="36">
        <v>0</v>
      </c>
      <c r="AG232" s="36">
        <v>0</v>
      </c>
      <c r="AH232" s="36">
        <v>0</v>
      </c>
      <c r="AI232" s="36">
        <v>0</v>
      </c>
      <c r="AJ232" s="37">
        <v>4</v>
      </c>
      <c r="AK232" s="38">
        <v>646.22693099999992</v>
      </c>
      <c r="AL232" s="39">
        <v>225</v>
      </c>
      <c r="AM232" s="32">
        <v>668</v>
      </c>
      <c r="AN232" s="39"/>
      <c r="AO232" s="39"/>
      <c r="AP232" s="39"/>
      <c r="AQ232" s="50"/>
      <c r="AS232" s="1"/>
    </row>
    <row r="233" spans="1:45" s="26" customFormat="1" ht="15">
      <c r="A233" s="61">
        <v>16</v>
      </c>
      <c r="B233" s="61">
        <v>16</v>
      </c>
      <c r="C233" s="61"/>
      <c r="D233" s="61"/>
      <c r="E233" s="61" t="s">
        <v>160</v>
      </c>
      <c r="F233" s="29" t="s">
        <v>162</v>
      </c>
      <c r="G233" s="29">
        <v>228</v>
      </c>
      <c r="H233" s="27">
        <v>216</v>
      </c>
      <c r="I233" s="27">
        <v>233</v>
      </c>
      <c r="J233" s="27">
        <v>215</v>
      </c>
      <c r="K233" s="27">
        <v>240</v>
      </c>
      <c r="L233" s="27"/>
      <c r="M233" s="32">
        <f t="shared" si="30"/>
        <v>701</v>
      </c>
      <c r="N233" s="32" t="s">
        <v>1330</v>
      </c>
      <c r="O233" s="32"/>
      <c r="P233" s="32">
        <f t="shared" si="31"/>
        <v>700.97730000000001</v>
      </c>
      <c r="Q233" s="32">
        <f t="shared" si="32"/>
        <v>5</v>
      </c>
      <c r="R233" s="32">
        <f t="shared" ca="1" si="33"/>
        <v>0</v>
      </c>
      <c r="S233" s="33" t="s">
        <v>43</v>
      </c>
      <c r="T233" s="34">
        <f t="shared" si="34"/>
        <v>0</v>
      </c>
      <c r="U233" s="34">
        <f t="shared" ca="1" si="35"/>
        <v>240</v>
      </c>
      <c r="V233" s="34">
        <f>-SUMPRODUCT((S$6:S232=S233)*(X$6:X232=X233))</f>
        <v>0</v>
      </c>
      <c r="W233" s="34">
        <f>-SUMPRODUCT((S$6:S232=S233)*(X$6:X232=X233)*(B$6:B232&lt;&gt;"NS"))</f>
        <v>0</v>
      </c>
      <c r="X233" s="35">
        <f t="shared" si="36"/>
        <v>701.26558</v>
      </c>
      <c r="Y233" s="27">
        <v>240</v>
      </c>
      <c r="Z233" s="27">
        <v>233</v>
      </c>
      <c r="AA233" s="29">
        <v>228</v>
      </c>
      <c r="AB233" s="27">
        <v>216</v>
      </c>
      <c r="AC233" s="27">
        <v>215</v>
      </c>
      <c r="AD233" s="27"/>
      <c r="AF233" s="36">
        <v>0</v>
      </c>
      <c r="AG233" s="36">
        <v>0</v>
      </c>
      <c r="AH233" s="36">
        <v>0</v>
      </c>
      <c r="AI233" s="36">
        <v>0</v>
      </c>
      <c r="AJ233" s="37">
        <v>4</v>
      </c>
      <c r="AK233" s="38">
        <v>677.23647499999993</v>
      </c>
      <c r="AL233" s="39">
        <v>233</v>
      </c>
      <c r="AM233" s="32">
        <v>694</v>
      </c>
      <c r="AN233" s="39"/>
      <c r="AO233" s="39"/>
      <c r="AP233" s="39"/>
      <c r="AQ233" s="50"/>
      <c r="AS233" s="1"/>
    </row>
    <row r="234" spans="1:45" s="26" customFormat="1" ht="15">
      <c r="A234" s="61">
        <v>17</v>
      </c>
      <c r="B234" s="61">
        <v>17</v>
      </c>
      <c r="C234" s="61"/>
      <c r="D234" s="61"/>
      <c r="E234" s="61" t="s">
        <v>560</v>
      </c>
      <c r="F234" s="29" t="s">
        <v>162</v>
      </c>
      <c r="G234" s="29">
        <v>222</v>
      </c>
      <c r="H234" s="27">
        <v>232</v>
      </c>
      <c r="I234" s="27">
        <v>223</v>
      </c>
      <c r="J234" s="27"/>
      <c r="K234" s="27"/>
      <c r="L234" s="27"/>
      <c r="M234" s="32">
        <f t="shared" si="30"/>
        <v>677</v>
      </c>
      <c r="N234" s="32" t="s">
        <v>1330</v>
      </c>
      <c r="O234" s="32"/>
      <c r="P234" s="32">
        <f t="shared" si="31"/>
        <v>676.97720000000004</v>
      </c>
      <c r="Q234" s="32">
        <f t="shared" si="32"/>
        <v>3</v>
      </c>
      <c r="R234" s="32">
        <f t="shared" ca="1" si="33"/>
        <v>0</v>
      </c>
      <c r="S234" s="33" t="s">
        <v>43</v>
      </c>
      <c r="T234" s="34">
        <f t="shared" si="34"/>
        <v>0</v>
      </c>
      <c r="U234" s="34">
        <f t="shared" ca="1" si="35"/>
        <v>0</v>
      </c>
      <c r="V234" s="34">
        <f>-SUMPRODUCT((S$6:S233=S234)*(X$6:X233=X234))</f>
        <v>0</v>
      </c>
      <c r="W234" s="34">
        <f>-SUMPRODUCT((S$6:S233=S234)*(X$6:X233=X234)*(B$6:B233&lt;&gt;"NS"))</f>
        <v>0</v>
      </c>
      <c r="X234" s="35">
        <f t="shared" si="36"/>
        <v>677.25652000000002</v>
      </c>
      <c r="Y234" s="27">
        <v>232</v>
      </c>
      <c r="Z234" s="27">
        <v>223</v>
      </c>
      <c r="AA234" s="29">
        <v>222</v>
      </c>
      <c r="AB234" s="27"/>
      <c r="AC234" s="27"/>
      <c r="AD234" s="27"/>
      <c r="AF234" s="36">
        <v>0</v>
      </c>
      <c r="AG234" s="36">
        <v>0</v>
      </c>
      <c r="AH234" s="36">
        <v>0</v>
      </c>
      <c r="AI234" s="36">
        <v>0</v>
      </c>
      <c r="AJ234" s="37">
        <v>3</v>
      </c>
      <c r="AK234" s="38">
        <v>677.23471999999992</v>
      </c>
      <c r="AL234" s="39">
        <v>232</v>
      </c>
      <c r="AM234" s="32">
        <v>687</v>
      </c>
      <c r="AN234" s="39"/>
      <c r="AO234" s="39"/>
      <c r="AP234" s="39"/>
      <c r="AQ234" s="50"/>
      <c r="AS234" s="1"/>
    </row>
    <row r="235" spans="1:45" s="26" customFormat="1" ht="15">
      <c r="A235" s="61">
        <v>18</v>
      </c>
      <c r="B235" s="61">
        <v>18</v>
      </c>
      <c r="C235" s="61"/>
      <c r="D235" s="61"/>
      <c r="E235" s="61" t="s">
        <v>561</v>
      </c>
      <c r="F235" s="29" t="s">
        <v>69</v>
      </c>
      <c r="G235" s="29">
        <v>217</v>
      </c>
      <c r="H235" s="27">
        <v>215</v>
      </c>
      <c r="I235" s="27">
        <v>240</v>
      </c>
      <c r="J235" s="27"/>
      <c r="K235" s="27"/>
      <c r="L235" s="27"/>
      <c r="M235" s="32">
        <f t="shared" si="30"/>
        <v>672</v>
      </c>
      <c r="N235" s="32" t="s">
        <v>1330</v>
      </c>
      <c r="O235" s="32"/>
      <c r="P235" s="32">
        <f t="shared" si="31"/>
        <v>671.97709999999995</v>
      </c>
      <c r="Q235" s="32">
        <f t="shared" si="32"/>
        <v>3</v>
      </c>
      <c r="R235" s="32">
        <f t="shared" ca="1" si="33"/>
        <v>0</v>
      </c>
      <c r="S235" s="33" t="s">
        <v>43</v>
      </c>
      <c r="T235" s="34">
        <f t="shared" si="34"/>
        <v>0</v>
      </c>
      <c r="U235" s="34">
        <f t="shared" ca="1" si="35"/>
        <v>0</v>
      </c>
      <c r="V235" s="34">
        <f>-SUMPRODUCT((S$6:S234=S235)*(X$6:X234=X235))</f>
        <v>0</v>
      </c>
      <c r="W235" s="34">
        <f>-SUMPRODUCT((S$6:S234=S235)*(X$6:X234=X235)*(B$6:B234&lt;&gt;"NS"))</f>
        <v>0</v>
      </c>
      <c r="X235" s="35">
        <f t="shared" si="36"/>
        <v>672.26385000000005</v>
      </c>
      <c r="Y235" s="27">
        <v>240</v>
      </c>
      <c r="Z235" s="29">
        <v>217</v>
      </c>
      <c r="AA235" s="27">
        <v>215</v>
      </c>
      <c r="AB235" s="27"/>
      <c r="AC235" s="27"/>
      <c r="AD235" s="27"/>
      <c r="AF235" s="36">
        <v>0</v>
      </c>
      <c r="AG235" s="36">
        <v>0</v>
      </c>
      <c r="AH235" s="36">
        <v>0</v>
      </c>
      <c r="AI235" s="36">
        <v>0</v>
      </c>
      <c r="AJ235" s="37">
        <v>3</v>
      </c>
      <c r="AK235" s="38">
        <v>672.24195000000009</v>
      </c>
      <c r="AL235" s="39">
        <v>240</v>
      </c>
      <c r="AM235" s="32">
        <v>697</v>
      </c>
      <c r="AN235" s="39"/>
      <c r="AO235" s="39"/>
      <c r="AP235" s="39"/>
      <c r="AQ235" s="50"/>
      <c r="AS235" s="1"/>
    </row>
    <row r="236" spans="1:45" s="26" customFormat="1" ht="15">
      <c r="A236" s="61">
        <v>19</v>
      </c>
      <c r="B236" s="61">
        <v>19</v>
      </c>
      <c r="C236" s="61"/>
      <c r="D236" s="61"/>
      <c r="E236" s="61" t="s">
        <v>137</v>
      </c>
      <c r="F236" s="29" t="s">
        <v>19</v>
      </c>
      <c r="G236" s="29">
        <v>147</v>
      </c>
      <c r="H236" s="27"/>
      <c r="I236" s="27">
        <v>185</v>
      </c>
      <c r="J236" s="27">
        <v>229</v>
      </c>
      <c r="K236" s="27">
        <v>251</v>
      </c>
      <c r="L236" s="27"/>
      <c r="M236" s="32">
        <f t="shared" si="30"/>
        <v>665</v>
      </c>
      <c r="N236" s="32" t="s">
        <v>1330</v>
      </c>
      <c r="O236" s="32"/>
      <c r="P236" s="32">
        <f t="shared" si="31"/>
        <v>664.97699999999998</v>
      </c>
      <c r="Q236" s="32">
        <f t="shared" si="32"/>
        <v>4</v>
      </c>
      <c r="R236" s="32">
        <f t="shared" ca="1" si="33"/>
        <v>0</v>
      </c>
      <c r="S236" s="33" t="s">
        <v>43</v>
      </c>
      <c r="T236" s="34">
        <f t="shared" si="34"/>
        <v>0</v>
      </c>
      <c r="U236" s="34">
        <f t="shared" ca="1" si="35"/>
        <v>251</v>
      </c>
      <c r="V236" s="34">
        <f>-SUMPRODUCT((S$6:S235=S236)*(X$6:X235=X236))</f>
        <v>0</v>
      </c>
      <c r="W236" s="34">
        <f>-SUMPRODUCT((S$6:S235=S236)*(X$6:X235=X236)*(B$6:B235&lt;&gt;"NS"))</f>
        <v>0</v>
      </c>
      <c r="X236" s="35">
        <f t="shared" si="36"/>
        <v>665.27575000000002</v>
      </c>
      <c r="Y236" s="27">
        <v>251</v>
      </c>
      <c r="Z236" s="27">
        <v>229</v>
      </c>
      <c r="AA236" s="27">
        <v>185</v>
      </c>
      <c r="AB236" s="29">
        <v>147</v>
      </c>
      <c r="AC236" s="27"/>
      <c r="AD236" s="27"/>
      <c r="AF236" s="36">
        <v>0</v>
      </c>
      <c r="AG236" s="36">
        <v>0</v>
      </c>
      <c r="AH236" s="36">
        <v>0</v>
      </c>
      <c r="AI236" s="36">
        <v>0</v>
      </c>
      <c r="AJ236" s="37">
        <v>3</v>
      </c>
      <c r="AK236" s="38">
        <v>561.22657000000015</v>
      </c>
      <c r="AL236" s="39">
        <v>229</v>
      </c>
      <c r="AM236" s="32">
        <v>643</v>
      </c>
      <c r="AN236" s="39"/>
      <c r="AO236" s="39"/>
      <c r="AP236" s="39"/>
      <c r="AQ236" s="50"/>
      <c r="AS236" s="1"/>
    </row>
    <row r="237" spans="1:45" s="26" customFormat="1" ht="15">
      <c r="A237" s="61">
        <v>20</v>
      </c>
      <c r="B237" s="61">
        <v>20</v>
      </c>
      <c r="C237" s="61"/>
      <c r="D237" s="61"/>
      <c r="E237" s="61" t="s">
        <v>562</v>
      </c>
      <c r="F237" s="29" t="s">
        <v>19</v>
      </c>
      <c r="G237" s="29">
        <v>213</v>
      </c>
      <c r="H237" s="27">
        <v>213</v>
      </c>
      <c r="I237" s="27">
        <v>238</v>
      </c>
      <c r="J237" s="27"/>
      <c r="K237" s="27"/>
      <c r="L237" s="27"/>
      <c r="M237" s="32">
        <f t="shared" si="30"/>
        <v>664</v>
      </c>
      <c r="N237" s="32" t="s">
        <v>1330</v>
      </c>
      <c r="O237" s="32"/>
      <c r="P237" s="32">
        <f t="shared" si="31"/>
        <v>663.9769</v>
      </c>
      <c r="Q237" s="32">
        <f t="shared" si="32"/>
        <v>3</v>
      </c>
      <c r="R237" s="32">
        <f t="shared" ca="1" si="33"/>
        <v>0</v>
      </c>
      <c r="S237" s="33" t="s">
        <v>43</v>
      </c>
      <c r="T237" s="34">
        <f t="shared" si="34"/>
        <v>0</v>
      </c>
      <c r="U237" s="34">
        <f t="shared" ca="1" si="35"/>
        <v>0</v>
      </c>
      <c r="V237" s="34">
        <f>-SUMPRODUCT((S$6:S236=S237)*(X$6:X236=X237))</f>
        <v>0</v>
      </c>
      <c r="W237" s="34">
        <f>-SUMPRODUCT((S$6:S236=S237)*(X$6:X236=X237)*(B$6:B236&lt;&gt;"NS"))</f>
        <v>0</v>
      </c>
      <c r="X237" s="35">
        <f t="shared" si="36"/>
        <v>664.26143000000002</v>
      </c>
      <c r="Y237" s="27">
        <v>238</v>
      </c>
      <c r="Z237" s="29">
        <v>213</v>
      </c>
      <c r="AA237" s="27">
        <v>213</v>
      </c>
      <c r="AB237" s="27"/>
      <c r="AC237" s="27"/>
      <c r="AD237" s="27"/>
      <c r="AF237" s="36">
        <v>0</v>
      </c>
      <c r="AG237" s="36">
        <v>0</v>
      </c>
      <c r="AH237" s="36">
        <v>0</v>
      </c>
      <c r="AI237" s="36">
        <v>0</v>
      </c>
      <c r="AJ237" s="37">
        <v>3</v>
      </c>
      <c r="AK237" s="38">
        <v>664.23942999999997</v>
      </c>
      <c r="AL237" s="39">
        <v>238</v>
      </c>
      <c r="AM237" s="32">
        <v>689</v>
      </c>
      <c r="AN237" s="39"/>
      <c r="AO237" s="39"/>
      <c r="AP237" s="39"/>
      <c r="AQ237" s="50"/>
      <c r="AS237" s="1"/>
    </row>
    <row r="238" spans="1:45" s="26" customFormat="1" ht="15">
      <c r="A238" s="61">
        <v>21</v>
      </c>
      <c r="B238" s="61">
        <v>21</v>
      </c>
      <c r="C238" s="61"/>
      <c r="D238" s="61"/>
      <c r="E238" s="61" t="s">
        <v>204</v>
      </c>
      <c r="F238" s="29" t="s">
        <v>88</v>
      </c>
      <c r="G238" s="29"/>
      <c r="H238" s="27">
        <v>217</v>
      </c>
      <c r="I238" s="27">
        <v>226</v>
      </c>
      <c r="J238" s="27"/>
      <c r="K238" s="27">
        <v>216</v>
      </c>
      <c r="L238" s="27"/>
      <c r="M238" s="32">
        <f t="shared" si="30"/>
        <v>659</v>
      </c>
      <c r="N238" s="32" t="s">
        <v>1330</v>
      </c>
      <c r="O238" s="32"/>
      <c r="P238" s="32">
        <f t="shared" si="31"/>
        <v>658.97680000000003</v>
      </c>
      <c r="Q238" s="32">
        <f t="shared" si="32"/>
        <v>3</v>
      </c>
      <c r="R238" s="32">
        <f t="shared" ca="1" si="33"/>
        <v>0</v>
      </c>
      <c r="S238" s="33" t="s">
        <v>43</v>
      </c>
      <c r="T238" s="34">
        <f t="shared" si="34"/>
        <v>0</v>
      </c>
      <c r="U238" s="34">
        <f t="shared" ca="1" si="35"/>
        <v>216</v>
      </c>
      <c r="V238" s="34">
        <f>-SUMPRODUCT((S$6:S237=S238)*(X$6:X237=X238))</f>
        <v>0</v>
      </c>
      <c r="W238" s="34">
        <f>-SUMPRODUCT((S$6:S237=S238)*(X$6:X237=X238)*(B$6:B237&lt;&gt;"NS"))</f>
        <v>0</v>
      </c>
      <c r="X238" s="35">
        <f t="shared" si="36"/>
        <v>659.24986000000001</v>
      </c>
      <c r="Y238" s="27">
        <v>226</v>
      </c>
      <c r="Z238" s="27">
        <v>217</v>
      </c>
      <c r="AA238" s="27">
        <v>216</v>
      </c>
      <c r="AB238" s="29"/>
      <c r="AC238" s="27"/>
      <c r="AD238" s="27"/>
      <c r="AF238" s="36">
        <v>0</v>
      </c>
      <c r="AG238" s="36">
        <v>0</v>
      </c>
      <c r="AH238" s="36">
        <v>0</v>
      </c>
      <c r="AI238" s="36">
        <v>0</v>
      </c>
      <c r="AJ238" s="37">
        <v>2</v>
      </c>
      <c r="AK238" s="38">
        <v>443.22410000000002</v>
      </c>
      <c r="AL238" s="39">
        <v>226</v>
      </c>
      <c r="AM238" s="32">
        <v>669</v>
      </c>
      <c r="AN238" s="39"/>
      <c r="AO238" s="39"/>
      <c r="AP238" s="39"/>
      <c r="AQ238" s="50"/>
      <c r="AS238" s="1"/>
    </row>
    <row r="239" spans="1:45" s="26" customFormat="1" ht="15">
      <c r="A239" s="61">
        <v>22</v>
      </c>
      <c r="B239" s="61">
        <v>22</v>
      </c>
      <c r="C239" s="61"/>
      <c r="D239" s="61"/>
      <c r="E239" s="61" t="s">
        <v>163</v>
      </c>
      <c r="F239" s="29" t="s">
        <v>50</v>
      </c>
      <c r="G239" s="29">
        <v>199</v>
      </c>
      <c r="H239" s="27">
        <v>208</v>
      </c>
      <c r="I239" s="27"/>
      <c r="J239" s="27"/>
      <c r="K239" s="27">
        <v>239</v>
      </c>
      <c r="L239" s="27"/>
      <c r="M239" s="32">
        <f t="shared" si="30"/>
        <v>646</v>
      </c>
      <c r="N239" s="32" t="s">
        <v>1330</v>
      </c>
      <c r="O239" s="32"/>
      <c r="P239" s="32">
        <f t="shared" si="31"/>
        <v>645.97670000000005</v>
      </c>
      <c r="Q239" s="32">
        <f t="shared" si="32"/>
        <v>3</v>
      </c>
      <c r="R239" s="32">
        <f t="shared" ca="1" si="33"/>
        <v>0</v>
      </c>
      <c r="S239" s="33" t="s">
        <v>43</v>
      </c>
      <c r="T239" s="34">
        <f t="shared" si="34"/>
        <v>0</v>
      </c>
      <c r="U239" s="34">
        <f t="shared" ca="1" si="35"/>
        <v>239</v>
      </c>
      <c r="V239" s="34">
        <f>-SUMPRODUCT((S$6:S238=S239)*(X$6:X238=X239))</f>
        <v>0</v>
      </c>
      <c r="W239" s="34">
        <f>-SUMPRODUCT((S$6:S238=S239)*(X$6:X238=X239)*(B$6:B238&lt;&gt;"NS"))</f>
        <v>0</v>
      </c>
      <c r="X239" s="35">
        <f t="shared" si="36"/>
        <v>646.26179000000002</v>
      </c>
      <c r="Y239" s="27">
        <v>239</v>
      </c>
      <c r="Z239" s="27">
        <v>208</v>
      </c>
      <c r="AA239" s="29">
        <v>199</v>
      </c>
      <c r="AB239" s="27"/>
      <c r="AC239" s="27"/>
      <c r="AD239" s="27"/>
      <c r="AF239" s="36">
        <v>0</v>
      </c>
      <c r="AG239" s="36">
        <v>0</v>
      </c>
      <c r="AH239" s="36">
        <v>0</v>
      </c>
      <c r="AI239" s="36">
        <v>0</v>
      </c>
      <c r="AJ239" s="37">
        <v>2</v>
      </c>
      <c r="AK239" s="38">
        <v>407.20390000000003</v>
      </c>
      <c r="AL239" s="39">
        <v>208</v>
      </c>
      <c r="AM239" s="32">
        <v>615</v>
      </c>
      <c r="AN239" s="39"/>
      <c r="AO239" s="39"/>
      <c r="AP239" s="39"/>
      <c r="AQ239" s="50"/>
      <c r="AS239" s="1"/>
    </row>
    <row r="240" spans="1:45" s="26" customFormat="1" ht="15">
      <c r="A240" s="61">
        <v>23</v>
      </c>
      <c r="B240" s="61">
        <v>23</v>
      </c>
      <c r="C240" s="61"/>
      <c r="D240" s="61"/>
      <c r="E240" s="61" t="s">
        <v>157</v>
      </c>
      <c r="F240" s="29" t="s">
        <v>88</v>
      </c>
      <c r="G240" s="29">
        <v>161</v>
      </c>
      <c r="H240" s="27">
        <v>186</v>
      </c>
      <c r="I240" s="27">
        <v>202</v>
      </c>
      <c r="J240" s="27"/>
      <c r="K240" s="27">
        <v>242</v>
      </c>
      <c r="L240" s="27"/>
      <c r="M240" s="32">
        <f t="shared" si="30"/>
        <v>630</v>
      </c>
      <c r="N240" s="32" t="s">
        <v>1330</v>
      </c>
      <c r="O240" s="32"/>
      <c r="P240" s="32">
        <f t="shared" si="31"/>
        <v>629.97659999999996</v>
      </c>
      <c r="Q240" s="32">
        <f t="shared" si="32"/>
        <v>4</v>
      </c>
      <c r="R240" s="32">
        <f t="shared" ca="1" si="33"/>
        <v>0</v>
      </c>
      <c r="S240" s="33" t="s">
        <v>43</v>
      </c>
      <c r="T240" s="34">
        <f t="shared" si="34"/>
        <v>0</v>
      </c>
      <c r="U240" s="34">
        <f t="shared" ca="1" si="35"/>
        <v>242</v>
      </c>
      <c r="V240" s="34">
        <f>-SUMPRODUCT((S$6:S239=S240)*(X$6:X239=X240))</f>
        <v>0</v>
      </c>
      <c r="W240" s="34">
        <f>-SUMPRODUCT((S$6:S239=S240)*(X$6:X239=X240)*(B$6:B239&lt;&gt;"NS"))</f>
        <v>0</v>
      </c>
      <c r="X240" s="35">
        <f t="shared" si="36"/>
        <v>630.26405999999997</v>
      </c>
      <c r="Y240" s="27">
        <v>242</v>
      </c>
      <c r="Z240" s="27">
        <v>202</v>
      </c>
      <c r="AA240" s="27">
        <v>186</v>
      </c>
      <c r="AB240" s="29">
        <v>161</v>
      </c>
      <c r="AC240" s="27"/>
      <c r="AD240" s="27"/>
      <c r="AF240" s="36">
        <v>0</v>
      </c>
      <c r="AG240" s="36">
        <v>0</v>
      </c>
      <c r="AH240" s="36">
        <v>0</v>
      </c>
      <c r="AI240" s="36">
        <v>0</v>
      </c>
      <c r="AJ240" s="37">
        <v>3</v>
      </c>
      <c r="AK240" s="38">
        <v>549.19951000000003</v>
      </c>
      <c r="AL240" s="39">
        <v>202</v>
      </c>
      <c r="AM240" s="32">
        <v>590</v>
      </c>
      <c r="AN240" s="39"/>
      <c r="AO240" s="39"/>
      <c r="AP240" s="39"/>
      <c r="AQ240" s="50"/>
      <c r="AS240" s="1"/>
    </row>
    <row r="241" spans="1:45" s="26" customFormat="1" ht="15">
      <c r="A241" s="61">
        <v>24</v>
      </c>
      <c r="B241" s="61">
        <v>24</v>
      </c>
      <c r="C241" s="61"/>
      <c r="D241" s="61"/>
      <c r="E241" s="61" t="s">
        <v>184</v>
      </c>
      <c r="F241" s="29" t="s">
        <v>61</v>
      </c>
      <c r="G241" s="29">
        <v>149</v>
      </c>
      <c r="H241" s="27">
        <v>176</v>
      </c>
      <c r="I241" s="27">
        <v>178</v>
      </c>
      <c r="J241" s="27">
        <v>180</v>
      </c>
      <c r="K241" s="27">
        <v>225</v>
      </c>
      <c r="L241" s="27"/>
      <c r="M241" s="32">
        <f t="shared" si="30"/>
        <v>583</v>
      </c>
      <c r="N241" s="32" t="s">
        <v>1330</v>
      </c>
      <c r="O241" s="32"/>
      <c r="P241" s="32">
        <f t="shared" si="31"/>
        <v>582.97649999999999</v>
      </c>
      <c r="Q241" s="32">
        <f t="shared" si="32"/>
        <v>5</v>
      </c>
      <c r="R241" s="32">
        <f t="shared" ca="1" si="33"/>
        <v>0</v>
      </c>
      <c r="S241" s="33" t="s">
        <v>43</v>
      </c>
      <c r="T241" s="34">
        <f t="shared" si="34"/>
        <v>0</v>
      </c>
      <c r="U241" s="34">
        <f t="shared" ca="1" si="35"/>
        <v>225</v>
      </c>
      <c r="V241" s="34">
        <f>-SUMPRODUCT((S$6:S240=S241)*(X$6:X240=X241))</f>
        <v>0</v>
      </c>
      <c r="W241" s="34">
        <f>-SUMPRODUCT((S$6:S240=S241)*(X$6:X240=X241)*(B$6:B240&lt;&gt;"NS"))</f>
        <v>0</v>
      </c>
      <c r="X241" s="35">
        <f t="shared" si="36"/>
        <v>583.24477999999999</v>
      </c>
      <c r="Y241" s="27">
        <v>225</v>
      </c>
      <c r="Z241" s="27">
        <v>180</v>
      </c>
      <c r="AA241" s="27">
        <v>178</v>
      </c>
      <c r="AB241" s="27">
        <v>176</v>
      </c>
      <c r="AC241" s="29">
        <v>149</v>
      </c>
      <c r="AD241" s="27"/>
      <c r="AF241" s="36">
        <v>0</v>
      </c>
      <c r="AG241" s="36">
        <v>0</v>
      </c>
      <c r="AH241" s="36">
        <v>0</v>
      </c>
      <c r="AI241" s="36">
        <v>0</v>
      </c>
      <c r="AJ241" s="37">
        <v>4</v>
      </c>
      <c r="AK241" s="38">
        <v>534.17680899999982</v>
      </c>
      <c r="AL241" s="39">
        <v>180</v>
      </c>
      <c r="AM241" s="32">
        <v>538</v>
      </c>
      <c r="AN241" s="39"/>
      <c r="AO241" s="39"/>
      <c r="AP241" s="39"/>
      <c r="AQ241" s="50"/>
      <c r="AS241" s="1"/>
    </row>
    <row r="242" spans="1:45" s="26" customFormat="1" ht="15">
      <c r="A242" s="61">
        <v>25</v>
      </c>
      <c r="B242" s="61" t="s">
        <v>111</v>
      </c>
      <c r="C242" s="61"/>
      <c r="D242" s="61"/>
      <c r="E242" s="61" t="s">
        <v>215</v>
      </c>
      <c r="F242" s="29" t="s">
        <v>201</v>
      </c>
      <c r="G242" s="29">
        <v>172</v>
      </c>
      <c r="H242" s="27">
        <v>174</v>
      </c>
      <c r="I242" s="27"/>
      <c r="J242" s="27">
        <v>190</v>
      </c>
      <c r="K242" s="27">
        <v>208</v>
      </c>
      <c r="L242" s="27"/>
      <c r="M242" s="32">
        <f t="shared" si="30"/>
        <v>572</v>
      </c>
      <c r="N242" s="32" t="s">
        <v>1331</v>
      </c>
      <c r="O242" s="32"/>
      <c r="P242" s="32">
        <f t="shared" si="31"/>
        <v>571.97640000000001</v>
      </c>
      <c r="Q242" s="32">
        <f t="shared" si="32"/>
        <v>4</v>
      </c>
      <c r="R242" s="32">
        <f t="shared" ca="1" si="33"/>
        <v>0</v>
      </c>
      <c r="S242" s="33" t="s">
        <v>43</v>
      </c>
      <c r="T242" s="34">
        <f t="shared" si="34"/>
        <v>0</v>
      </c>
      <c r="U242" s="34">
        <f t="shared" ca="1" si="35"/>
        <v>208</v>
      </c>
      <c r="V242" s="34">
        <f>-SUMPRODUCT((S$6:S241=S242)*(X$6:X241=X242))</f>
        <v>0</v>
      </c>
      <c r="W242" s="34">
        <f>-SUMPRODUCT((S$6:S241=S242)*(X$6:X241=X242)*(B$6:B241&lt;&gt;"NS"))</f>
        <v>0</v>
      </c>
      <c r="X242" s="35">
        <f t="shared" si="36"/>
        <v>572.22874000000002</v>
      </c>
      <c r="Y242" s="27">
        <v>208</v>
      </c>
      <c r="Z242" s="27">
        <v>190</v>
      </c>
      <c r="AA242" s="27">
        <v>174</v>
      </c>
      <c r="AB242" s="29">
        <v>172</v>
      </c>
      <c r="AC242" s="27"/>
      <c r="AD242" s="27"/>
      <c r="AF242" s="36">
        <v>0</v>
      </c>
      <c r="AG242" s="36">
        <v>0</v>
      </c>
      <c r="AH242" s="36">
        <v>0</v>
      </c>
      <c r="AI242" s="36">
        <v>0</v>
      </c>
      <c r="AJ242" s="37">
        <v>3</v>
      </c>
      <c r="AK242" s="38">
        <v>536.18632000000002</v>
      </c>
      <c r="AL242" s="39">
        <v>190</v>
      </c>
      <c r="AM242" s="32">
        <v>0</v>
      </c>
      <c r="AN242" s="39"/>
      <c r="AO242" s="39"/>
      <c r="AP242" s="39"/>
      <c r="AQ242" s="50"/>
      <c r="AS242" s="1"/>
    </row>
    <row r="243" spans="1:45" s="26" customFormat="1" ht="15">
      <c r="A243" s="61">
        <v>26</v>
      </c>
      <c r="B243" s="61">
        <v>25</v>
      </c>
      <c r="C243" s="61"/>
      <c r="D243" s="61"/>
      <c r="E243" s="61" t="s">
        <v>563</v>
      </c>
      <c r="F243" s="29" t="s">
        <v>69</v>
      </c>
      <c r="G243" s="29">
        <v>280</v>
      </c>
      <c r="H243" s="27"/>
      <c r="I243" s="27">
        <v>284</v>
      </c>
      <c r="J243" s="27"/>
      <c r="K243" s="27"/>
      <c r="L243" s="27"/>
      <c r="M243" s="32">
        <f t="shared" si="30"/>
        <v>564</v>
      </c>
      <c r="N243" s="32" t="s">
        <v>1330</v>
      </c>
      <c r="O243" s="32"/>
      <c r="P243" s="32">
        <f t="shared" si="31"/>
        <v>563.97630000000004</v>
      </c>
      <c r="Q243" s="32">
        <f t="shared" si="32"/>
        <v>2</v>
      </c>
      <c r="R243" s="32">
        <f t="shared" ca="1" si="33"/>
        <v>0</v>
      </c>
      <c r="S243" s="33" t="s">
        <v>43</v>
      </c>
      <c r="T243" s="34">
        <f t="shared" si="34"/>
        <v>0</v>
      </c>
      <c r="U243" s="34">
        <f t="shared" ca="1" si="35"/>
        <v>0</v>
      </c>
      <c r="V243" s="34">
        <f>-SUMPRODUCT((S$6:S242=S243)*(X$6:X242=X243))</f>
        <v>0</v>
      </c>
      <c r="W243" s="34">
        <f>-SUMPRODUCT((S$6:S242=S243)*(X$6:X242=X243)*(B$6:B242&lt;&gt;"NS"))</f>
        <v>0</v>
      </c>
      <c r="X243" s="35">
        <f t="shared" si="36"/>
        <v>564.31200000000001</v>
      </c>
      <c r="Y243" s="27">
        <v>284</v>
      </c>
      <c r="Z243" s="29">
        <v>280</v>
      </c>
      <c r="AA243" s="27"/>
      <c r="AB243" s="27"/>
      <c r="AC243" s="27"/>
      <c r="AD243" s="27"/>
      <c r="AF243" s="36">
        <v>0</v>
      </c>
      <c r="AG243" s="36">
        <v>0</v>
      </c>
      <c r="AH243" s="36">
        <v>0</v>
      </c>
      <c r="AI243" s="36">
        <v>0</v>
      </c>
      <c r="AJ243" s="37">
        <v>2</v>
      </c>
      <c r="AK243" s="38">
        <v>564.28970000000004</v>
      </c>
      <c r="AL243" s="39">
        <v>284</v>
      </c>
      <c r="AM243" s="32">
        <v>848</v>
      </c>
      <c r="AN243" s="39"/>
      <c r="AO243" s="39" t="s">
        <v>80</v>
      </c>
      <c r="AP243" s="39" t="s">
        <v>127</v>
      </c>
      <c r="AQ243" s="50"/>
      <c r="AS243" s="1"/>
    </row>
    <row r="244" spans="1:45" s="26" customFormat="1" ht="15">
      <c r="A244" s="61">
        <v>27</v>
      </c>
      <c r="B244" s="61">
        <v>26</v>
      </c>
      <c r="C244" s="61"/>
      <c r="D244" s="61"/>
      <c r="E244" s="61" t="s">
        <v>564</v>
      </c>
      <c r="F244" s="29" t="s">
        <v>412</v>
      </c>
      <c r="G244" s="29">
        <v>166</v>
      </c>
      <c r="H244" s="27"/>
      <c r="I244" s="27">
        <v>186</v>
      </c>
      <c r="J244" s="27">
        <v>208</v>
      </c>
      <c r="K244" s="27"/>
      <c r="L244" s="27"/>
      <c r="M244" s="32">
        <f t="shared" si="30"/>
        <v>560</v>
      </c>
      <c r="N244" s="32" t="s">
        <v>1330</v>
      </c>
      <c r="O244" s="32"/>
      <c r="P244" s="32">
        <f t="shared" si="31"/>
        <v>559.97619999999995</v>
      </c>
      <c r="Q244" s="32">
        <f t="shared" si="32"/>
        <v>3</v>
      </c>
      <c r="R244" s="32">
        <f t="shared" ca="1" si="33"/>
        <v>0</v>
      </c>
      <c r="S244" s="33" t="s">
        <v>43</v>
      </c>
      <c r="T244" s="34">
        <f t="shared" si="34"/>
        <v>0</v>
      </c>
      <c r="U244" s="34">
        <f t="shared" ca="1" si="35"/>
        <v>0</v>
      </c>
      <c r="V244" s="34">
        <f>-SUMPRODUCT((S$6:S243=S244)*(X$6:X243=X244))</f>
        <v>0</v>
      </c>
      <c r="W244" s="34">
        <f>-SUMPRODUCT((S$6:S243=S244)*(X$6:X243=X244)*(B$6:B243&lt;&gt;"NS"))</f>
        <v>0</v>
      </c>
      <c r="X244" s="35">
        <f t="shared" si="36"/>
        <v>560.22825999999998</v>
      </c>
      <c r="Y244" s="27">
        <v>208</v>
      </c>
      <c r="Z244" s="27">
        <v>186</v>
      </c>
      <c r="AA244" s="29">
        <v>166</v>
      </c>
      <c r="AB244" s="27"/>
      <c r="AC244" s="27"/>
      <c r="AD244" s="27"/>
      <c r="AF244" s="36">
        <v>0</v>
      </c>
      <c r="AG244" s="36">
        <v>0</v>
      </c>
      <c r="AH244" s="36">
        <v>0</v>
      </c>
      <c r="AI244" s="36">
        <v>0</v>
      </c>
      <c r="AJ244" s="37">
        <v>3</v>
      </c>
      <c r="AK244" s="38">
        <v>560.20575999999994</v>
      </c>
      <c r="AL244" s="39">
        <v>208</v>
      </c>
      <c r="AM244" s="32">
        <v>602</v>
      </c>
      <c r="AN244" s="39"/>
      <c r="AO244" s="39"/>
      <c r="AP244" s="39"/>
      <c r="AQ244" s="50"/>
      <c r="AS244" s="1"/>
    </row>
    <row r="245" spans="1:45" s="26" customFormat="1" ht="15">
      <c r="A245" s="61">
        <v>28</v>
      </c>
      <c r="B245" s="61">
        <v>27</v>
      </c>
      <c r="C245" s="61"/>
      <c r="D245" s="61"/>
      <c r="E245" s="61" t="s">
        <v>565</v>
      </c>
      <c r="F245" s="29" t="s">
        <v>69</v>
      </c>
      <c r="G245" s="29">
        <v>158</v>
      </c>
      <c r="H245" s="27">
        <v>170</v>
      </c>
      <c r="I245" s="27">
        <v>176</v>
      </c>
      <c r="J245" s="27">
        <v>211</v>
      </c>
      <c r="K245" s="27"/>
      <c r="L245" s="27"/>
      <c r="M245" s="32">
        <f t="shared" si="30"/>
        <v>557</v>
      </c>
      <c r="N245" s="32" t="s">
        <v>1330</v>
      </c>
      <c r="O245" s="32"/>
      <c r="P245" s="32">
        <f t="shared" si="31"/>
        <v>556.97609999999997</v>
      </c>
      <c r="Q245" s="32">
        <f t="shared" si="32"/>
        <v>4</v>
      </c>
      <c r="R245" s="32">
        <f t="shared" ca="1" si="33"/>
        <v>0</v>
      </c>
      <c r="S245" s="33" t="s">
        <v>43</v>
      </c>
      <c r="T245" s="34">
        <f t="shared" si="34"/>
        <v>0</v>
      </c>
      <c r="U245" s="34">
        <f t="shared" ca="1" si="35"/>
        <v>0</v>
      </c>
      <c r="V245" s="34">
        <f>-SUMPRODUCT((S$6:S244=S245)*(X$6:X244=X245))</f>
        <v>0</v>
      </c>
      <c r="W245" s="34">
        <f>-SUMPRODUCT((S$6:S244=S245)*(X$6:X244=X245)*(B$6:B244&lt;&gt;"NS"))</f>
        <v>0</v>
      </c>
      <c r="X245" s="35">
        <f t="shared" si="36"/>
        <v>557.23030000000006</v>
      </c>
      <c r="Y245" s="27">
        <v>211</v>
      </c>
      <c r="Z245" s="27">
        <v>176</v>
      </c>
      <c r="AA245" s="27">
        <v>170</v>
      </c>
      <c r="AB245" s="29">
        <v>158</v>
      </c>
      <c r="AC245" s="27"/>
      <c r="AD245" s="27"/>
      <c r="AF245" s="36">
        <v>0</v>
      </c>
      <c r="AG245" s="36">
        <v>0</v>
      </c>
      <c r="AH245" s="36">
        <v>0</v>
      </c>
      <c r="AI245" s="36">
        <v>0</v>
      </c>
      <c r="AJ245" s="37">
        <v>4</v>
      </c>
      <c r="AK245" s="38">
        <v>557.2078580000001</v>
      </c>
      <c r="AL245" s="39">
        <v>211</v>
      </c>
      <c r="AM245" s="32">
        <v>598</v>
      </c>
      <c r="AN245" s="39"/>
      <c r="AO245" s="39"/>
      <c r="AP245" s="39"/>
      <c r="AQ245" s="50"/>
      <c r="AS245" s="1"/>
    </row>
    <row r="246" spans="1:45" s="26" customFormat="1" ht="15">
      <c r="A246" s="61">
        <v>29</v>
      </c>
      <c r="B246" s="61">
        <v>28</v>
      </c>
      <c r="C246" s="61"/>
      <c r="D246" s="61"/>
      <c r="E246" s="61" t="s">
        <v>233</v>
      </c>
      <c r="F246" s="29" t="s">
        <v>84</v>
      </c>
      <c r="G246" s="29">
        <v>115</v>
      </c>
      <c r="H246" s="27">
        <v>117</v>
      </c>
      <c r="I246" s="27">
        <v>158</v>
      </c>
      <c r="J246" s="27">
        <v>157</v>
      </c>
      <c r="K246" s="27">
        <v>201</v>
      </c>
      <c r="L246" s="27"/>
      <c r="M246" s="32">
        <f t="shared" si="30"/>
        <v>516</v>
      </c>
      <c r="N246" s="32" t="s">
        <v>1330</v>
      </c>
      <c r="O246" s="32"/>
      <c r="P246" s="32">
        <f t="shared" si="31"/>
        <v>515.976</v>
      </c>
      <c r="Q246" s="32">
        <f t="shared" si="32"/>
        <v>5</v>
      </c>
      <c r="R246" s="32">
        <f t="shared" ca="1" si="33"/>
        <v>0</v>
      </c>
      <c r="S246" s="33" t="s">
        <v>43</v>
      </c>
      <c r="T246" s="34">
        <f t="shared" si="34"/>
        <v>0</v>
      </c>
      <c r="U246" s="34">
        <f t="shared" ca="1" si="35"/>
        <v>201</v>
      </c>
      <c r="V246" s="34">
        <f>-SUMPRODUCT((S$6:S245=S246)*(X$6:X245=X246))</f>
        <v>0</v>
      </c>
      <c r="W246" s="34">
        <f>-SUMPRODUCT((S$6:S245=S246)*(X$6:X245=X246)*(B$6:B245&lt;&gt;"NS"))</f>
        <v>0</v>
      </c>
      <c r="X246" s="35">
        <f t="shared" si="36"/>
        <v>516.21837000000005</v>
      </c>
      <c r="Y246" s="27">
        <v>201</v>
      </c>
      <c r="Z246" s="27">
        <v>158</v>
      </c>
      <c r="AA246" s="27">
        <v>157</v>
      </c>
      <c r="AB246" s="27">
        <v>117</v>
      </c>
      <c r="AC246" s="29">
        <v>115</v>
      </c>
      <c r="AD246" s="27"/>
      <c r="AF246" s="36">
        <v>0</v>
      </c>
      <c r="AG246" s="36">
        <v>0</v>
      </c>
      <c r="AH246" s="36">
        <v>0</v>
      </c>
      <c r="AI246" s="36">
        <v>0</v>
      </c>
      <c r="AJ246" s="37">
        <v>4</v>
      </c>
      <c r="AK246" s="38">
        <v>432.15128499999997</v>
      </c>
      <c r="AL246" s="39">
        <v>158</v>
      </c>
      <c r="AM246" s="32">
        <v>473</v>
      </c>
      <c r="AN246" s="39"/>
      <c r="AO246" s="39"/>
      <c r="AP246" s="39"/>
      <c r="AQ246" s="50"/>
      <c r="AS246" s="1"/>
    </row>
    <row r="247" spans="1:45" s="26" customFormat="1" ht="15">
      <c r="A247" s="61">
        <v>30</v>
      </c>
      <c r="B247" s="61">
        <v>29</v>
      </c>
      <c r="C247" s="61"/>
      <c r="D247" s="61"/>
      <c r="E247" s="61" t="s">
        <v>101</v>
      </c>
      <c r="F247" s="29" t="s">
        <v>103</v>
      </c>
      <c r="G247" s="29"/>
      <c r="H247" s="27"/>
      <c r="I247" s="27"/>
      <c r="J247" s="27">
        <v>243</v>
      </c>
      <c r="K247" s="27">
        <v>267</v>
      </c>
      <c r="L247" s="27"/>
      <c r="M247" s="32">
        <f t="shared" si="30"/>
        <v>510</v>
      </c>
      <c r="N247" s="32" t="s">
        <v>1330</v>
      </c>
      <c r="O247" s="32"/>
      <c r="P247" s="32">
        <f t="shared" si="31"/>
        <v>509.97590000000002</v>
      </c>
      <c r="Q247" s="32">
        <f t="shared" si="32"/>
        <v>2</v>
      </c>
      <c r="R247" s="32">
        <f t="shared" ca="1" si="33"/>
        <v>0</v>
      </c>
      <c r="S247" s="33" t="s">
        <v>43</v>
      </c>
      <c r="T247" s="34">
        <f t="shared" si="34"/>
        <v>0</v>
      </c>
      <c r="U247" s="34">
        <f t="shared" ca="1" si="35"/>
        <v>267</v>
      </c>
      <c r="V247" s="34">
        <f>-SUMPRODUCT((S$6:S246=S247)*(X$6:X246=X247))</f>
        <v>0</v>
      </c>
      <c r="W247" s="34">
        <f>-SUMPRODUCT((S$6:S246=S247)*(X$6:X246=X247)*(B$6:B246&lt;&gt;"NS"))</f>
        <v>0</v>
      </c>
      <c r="X247" s="35">
        <f t="shared" si="36"/>
        <v>510.29129999999998</v>
      </c>
      <c r="Y247" s="27">
        <v>267</v>
      </c>
      <c r="Z247" s="27">
        <v>243</v>
      </c>
      <c r="AA247" s="29"/>
      <c r="AB247" s="27"/>
      <c r="AC247" s="27"/>
      <c r="AD247" s="27"/>
      <c r="AF247" s="36">
        <v>0</v>
      </c>
      <c r="AG247" s="36">
        <v>0</v>
      </c>
      <c r="AH247" s="36">
        <v>0</v>
      </c>
      <c r="AI247" s="36">
        <v>0</v>
      </c>
      <c r="AJ247" s="37">
        <v>1</v>
      </c>
      <c r="AK247" s="38">
        <v>243.2175</v>
      </c>
      <c r="AL247" s="39">
        <v>243</v>
      </c>
      <c r="AM247" s="32">
        <v>486</v>
      </c>
      <c r="AN247" s="39"/>
      <c r="AO247" s="39"/>
      <c r="AP247" s="39"/>
      <c r="AQ247" s="50"/>
      <c r="AS247" s="1"/>
    </row>
    <row r="248" spans="1:45" s="26" customFormat="1" ht="15">
      <c r="A248" s="61">
        <v>31</v>
      </c>
      <c r="B248" s="61">
        <v>30</v>
      </c>
      <c r="C248" s="61"/>
      <c r="D248" s="61"/>
      <c r="E248" s="61" t="s">
        <v>566</v>
      </c>
      <c r="F248" s="29" t="s">
        <v>61</v>
      </c>
      <c r="G248" s="29">
        <v>150</v>
      </c>
      <c r="H248" s="27">
        <v>158</v>
      </c>
      <c r="I248" s="27"/>
      <c r="J248" s="27">
        <v>183</v>
      </c>
      <c r="K248" s="27"/>
      <c r="L248" s="27"/>
      <c r="M248" s="32">
        <f t="shared" si="30"/>
        <v>491</v>
      </c>
      <c r="N248" s="32" t="s">
        <v>1330</v>
      </c>
      <c r="O248" s="32"/>
      <c r="P248" s="32">
        <f t="shared" si="31"/>
        <v>490.97579999999999</v>
      </c>
      <c r="Q248" s="32">
        <f t="shared" si="32"/>
        <v>3</v>
      </c>
      <c r="R248" s="32">
        <f t="shared" ca="1" si="33"/>
        <v>0</v>
      </c>
      <c r="S248" s="33" t="s">
        <v>43</v>
      </c>
      <c r="T248" s="34">
        <f t="shared" si="34"/>
        <v>0</v>
      </c>
      <c r="U248" s="34">
        <f t="shared" ca="1" si="35"/>
        <v>0</v>
      </c>
      <c r="V248" s="34">
        <f>-SUMPRODUCT((S$6:S247=S248)*(X$6:X247=X248))</f>
        <v>0</v>
      </c>
      <c r="W248" s="34">
        <f>-SUMPRODUCT((S$6:S247=S248)*(X$6:X247=X248)*(B$6:B247&lt;&gt;"NS"))</f>
        <v>0</v>
      </c>
      <c r="X248" s="35">
        <f t="shared" si="36"/>
        <v>491.20030000000003</v>
      </c>
      <c r="Y248" s="27">
        <v>183</v>
      </c>
      <c r="Z248" s="27">
        <v>158</v>
      </c>
      <c r="AA248" s="29">
        <v>150</v>
      </c>
      <c r="AB248" s="27"/>
      <c r="AC248" s="27"/>
      <c r="AD248" s="27"/>
      <c r="AF248" s="36">
        <v>0</v>
      </c>
      <c r="AG248" s="36">
        <v>0</v>
      </c>
      <c r="AH248" s="36">
        <v>0</v>
      </c>
      <c r="AI248" s="36">
        <v>0</v>
      </c>
      <c r="AJ248" s="37">
        <v>3</v>
      </c>
      <c r="AK248" s="38">
        <v>491.17710000000005</v>
      </c>
      <c r="AL248" s="39">
        <v>183</v>
      </c>
      <c r="AM248" s="32">
        <v>524</v>
      </c>
      <c r="AN248" s="39"/>
      <c r="AO248" s="39"/>
      <c r="AP248" s="39"/>
      <c r="AQ248" s="50"/>
      <c r="AS248" s="1"/>
    </row>
    <row r="249" spans="1:45" s="26" customFormat="1" ht="15">
      <c r="A249" s="61">
        <v>32</v>
      </c>
      <c r="B249" s="61">
        <v>31</v>
      </c>
      <c r="C249" s="61"/>
      <c r="D249" s="61"/>
      <c r="E249" s="61" t="s">
        <v>258</v>
      </c>
      <c r="F249" s="29" t="s">
        <v>69</v>
      </c>
      <c r="G249" s="29">
        <v>103</v>
      </c>
      <c r="H249" s="27">
        <v>106</v>
      </c>
      <c r="I249" s="27">
        <v>139</v>
      </c>
      <c r="J249" s="27">
        <v>154</v>
      </c>
      <c r="K249" s="27">
        <v>192</v>
      </c>
      <c r="L249" s="27"/>
      <c r="M249" s="32">
        <f t="shared" si="30"/>
        <v>485</v>
      </c>
      <c r="N249" s="32" t="s">
        <v>1330</v>
      </c>
      <c r="O249" s="32"/>
      <c r="P249" s="32">
        <f t="shared" si="31"/>
        <v>484.97570000000002</v>
      </c>
      <c r="Q249" s="32">
        <f t="shared" si="32"/>
        <v>5</v>
      </c>
      <c r="R249" s="32">
        <f t="shared" ca="1" si="33"/>
        <v>0</v>
      </c>
      <c r="S249" s="33" t="s">
        <v>43</v>
      </c>
      <c r="T249" s="34">
        <f t="shared" si="34"/>
        <v>0</v>
      </c>
      <c r="U249" s="34">
        <f t="shared" ca="1" si="35"/>
        <v>192</v>
      </c>
      <c r="V249" s="34">
        <f>-SUMPRODUCT((S$6:S248=S249)*(X$6:X248=X249))</f>
        <v>0</v>
      </c>
      <c r="W249" s="34">
        <f>-SUMPRODUCT((S$6:S248=S249)*(X$6:X248=X249)*(B$6:B248&lt;&gt;"NS"))</f>
        <v>0</v>
      </c>
      <c r="X249" s="35">
        <f t="shared" si="36"/>
        <v>485.20879000000002</v>
      </c>
      <c r="Y249" s="27">
        <v>192</v>
      </c>
      <c r="Z249" s="27">
        <v>154</v>
      </c>
      <c r="AA249" s="27">
        <v>139</v>
      </c>
      <c r="AB249" s="27">
        <v>106</v>
      </c>
      <c r="AC249" s="29">
        <v>103</v>
      </c>
      <c r="AD249" s="27"/>
      <c r="AF249" s="36">
        <v>0</v>
      </c>
      <c r="AG249" s="36">
        <v>0</v>
      </c>
      <c r="AH249" s="36">
        <v>0</v>
      </c>
      <c r="AI249" s="36">
        <v>0</v>
      </c>
      <c r="AJ249" s="37">
        <v>4</v>
      </c>
      <c r="AK249" s="38">
        <v>399.14496300000002</v>
      </c>
      <c r="AL249" s="39">
        <v>154</v>
      </c>
      <c r="AM249" s="32">
        <v>447</v>
      </c>
      <c r="AN249" s="39"/>
      <c r="AO249" s="39"/>
      <c r="AP249" s="39"/>
      <c r="AQ249" s="50"/>
      <c r="AS249" s="1"/>
    </row>
    <row r="250" spans="1:45" s="26" customFormat="1" ht="15">
      <c r="A250" s="61">
        <v>33</v>
      </c>
      <c r="B250" s="61">
        <v>32</v>
      </c>
      <c r="C250" s="61"/>
      <c r="D250" s="61"/>
      <c r="E250" s="61" t="s">
        <v>562</v>
      </c>
      <c r="F250" s="29" t="s">
        <v>19</v>
      </c>
      <c r="G250" s="29"/>
      <c r="H250" s="27">
        <v>213</v>
      </c>
      <c r="I250" s="27">
        <v>238</v>
      </c>
      <c r="J250" s="27"/>
      <c r="K250" s="27"/>
      <c r="L250" s="27"/>
      <c r="M250" s="32">
        <f t="shared" si="30"/>
        <v>451</v>
      </c>
      <c r="N250" s="32" t="s">
        <v>1330</v>
      </c>
      <c r="O250" s="32"/>
      <c r="P250" s="32">
        <f t="shared" si="31"/>
        <v>450.97559999999999</v>
      </c>
      <c r="Q250" s="32">
        <f t="shared" si="32"/>
        <v>2</v>
      </c>
      <c r="R250" s="32">
        <f t="shared" ca="1" si="33"/>
        <v>0</v>
      </c>
      <c r="S250" s="33" t="s">
        <v>43</v>
      </c>
      <c r="T250" s="34">
        <f t="shared" si="34"/>
        <v>0</v>
      </c>
      <c r="U250" s="34">
        <f t="shared" ca="1" si="35"/>
        <v>0</v>
      </c>
      <c r="V250" s="34">
        <f>-SUMPRODUCT((S$6:S249=S250)*(X$6:X249=X250))</f>
        <v>0</v>
      </c>
      <c r="W250" s="34">
        <f>-SUMPRODUCT((S$6:S249=S250)*(X$6:X249=X250)*(B$6:B249&lt;&gt;"NS"))</f>
        <v>0</v>
      </c>
      <c r="X250" s="35">
        <f t="shared" si="36"/>
        <v>451.2593</v>
      </c>
      <c r="Y250" s="27">
        <v>238</v>
      </c>
      <c r="Z250" s="27">
        <v>213</v>
      </c>
      <c r="AA250" s="29"/>
      <c r="AB250" s="27"/>
      <c r="AC250" s="27"/>
      <c r="AD250" s="27"/>
      <c r="AF250" s="36">
        <v>0</v>
      </c>
      <c r="AG250" s="36">
        <v>0</v>
      </c>
      <c r="AH250" s="36">
        <v>0</v>
      </c>
      <c r="AI250" s="36">
        <v>0</v>
      </c>
      <c r="AJ250" s="37">
        <v>2</v>
      </c>
      <c r="AK250" s="38">
        <v>451.23599999999999</v>
      </c>
      <c r="AL250" s="39">
        <v>238</v>
      </c>
      <c r="AM250" s="32">
        <v>689</v>
      </c>
      <c r="AN250" s="39"/>
      <c r="AO250" s="39"/>
      <c r="AP250" s="39"/>
      <c r="AQ250" s="50"/>
      <c r="AS250" s="1"/>
    </row>
    <row r="251" spans="1:45" s="26" customFormat="1" ht="15">
      <c r="A251" s="61">
        <v>34</v>
      </c>
      <c r="B251" s="61">
        <v>33</v>
      </c>
      <c r="C251" s="61"/>
      <c r="D251" s="61"/>
      <c r="E251" s="61" t="s">
        <v>352</v>
      </c>
      <c r="F251" s="29" t="s">
        <v>118</v>
      </c>
      <c r="G251" s="29"/>
      <c r="H251" s="27">
        <v>115</v>
      </c>
      <c r="I251" s="27">
        <v>156</v>
      </c>
      <c r="J251" s="27">
        <v>178</v>
      </c>
      <c r="K251" s="27"/>
      <c r="L251" s="27"/>
      <c r="M251" s="32">
        <f t="shared" si="30"/>
        <v>449</v>
      </c>
      <c r="N251" s="32" t="s">
        <v>1330</v>
      </c>
      <c r="O251" s="32"/>
      <c r="P251" s="32">
        <f t="shared" si="31"/>
        <v>448.97550000000001</v>
      </c>
      <c r="Q251" s="32">
        <f t="shared" si="32"/>
        <v>3</v>
      </c>
      <c r="R251" s="32">
        <f t="shared" ca="1" si="33"/>
        <v>0</v>
      </c>
      <c r="S251" s="33" t="s">
        <v>43</v>
      </c>
      <c r="T251" s="34">
        <f t="shared" si="34"/>
        <v>0</v>
      </c>
      <c r="U251" s="34">
        <f t="shared" ca="1" si="35"/>
        <v>0</v>
      </c>
      <c r="V251" s="34">
        <f>-SUMPRODUCT((S$6:S250=S251)*(X$6:X250=X251))</f>
        <v>0</v>
      </c>
      <c r="W251" s="34">
        <f>-SUMPRODUCT((S$6:S250=S251)*(X$6:X250=X251)*(B$6:B250&lt;&gt;"NS"))</f>
        <v>0</v>
      </c>
      <c r="X251" s="35">
        <f t="shared" si="36"/>
        <v>449.19475</v>
      </c>
      <c r="Y251" s="27">
        <v>178</v>
      </c>
      <c r="Z251" s="27">
        <v>156</v>
      </c>
      <c r="AA251" s="27">
        <v>115</v>
      </c>
      <c r="AB251" s="29"/>
      <c r="AC251" s="27"/>
      <c r="AD251" s="27"/>
      <c r="AF251" s="36" t="s">
        <v>1339</v>
      </c>
      <c r="AG251" s="36">
        <v>0</v>
      </c>
      <c r="AH251" s="36">
        <v>0</v>
      </c>
      <c r="AI251" s="36">
        <v>0</v>
      </c>
      <c r="AJ251" s="37">
        <v>3</v>
      </c>
      <c r="AK251" s="38">
        <v>449.17135000000002</v>
      </c>
      <c r="AL251" s="39">
        <v>178</v>
      </c>
      <c r="AM251" s="32">
        <v>512</v>
      </c>
      <c r="AN251" s="39"/>
      <c r="AO251" s="39"/>
      <c r="AP251" s="39"/>
      <c r="AQ251" s="50"/>
      <c r="AS251" s="1"/>
    </row>
    <row r="252" spans="1:45" s="26" customFormat="1" ht="15">
      <c r="A252" s="61">
        <v>35</v>
      </c>
      <c r="B252" s="61">
        <v>34</v>
      </c>
      <c r="C252" s="61"/>
      <c r="D252" s="61"/>
      <c r="E252" s="61" t="s">
        <v>567</v>
      </c>
      <c r="F252" s="29" t="s">
        <v>38</v>
      </c>
      <c r="G252" s="29"/>
      <c r="H252" s="27">
        <v>195</v>
      </c>
      <c r="I252" s="27">
        <v>250</v>
      </c>
      <c r="J252" s="27"/>
      <c r="K252" s="27"/>
      <c r="L252" s="27"/>
      <c r="M252" s="32">
        <f t="shared" si="30"/>
        <v>445</v>
      </c>
      <c r="N252" s="32" t="s">
        <v>1330</v>
      </c>
      <c r="O252" s="32"/>
      <c r="P252" s="32">
        <f t="shared" si="31"/>
        <v>444.97539999999998</v>
      </c>
      <c r="Q252" s="32">
        <f t="shared" si="32"/>
        <v>2</v>
      </c>
      <c r="R252" s="32">
        <f t="shared" ca="1" si="33"/>
        <v>0</v>
      </c>
      <c r="S252" s="33" t="s">
        <v>43</v>
      </c>
      <c r="T252" s="34">
        <f t="shared" si="34"/>
        <v>0</v>
      </c>
      <c r="U252" s="34">
        <f t="shared" ca="1" si="35"/>
        <v>0</v>
      </c>
      <c r="V252" s="34">
        <f>-SUMPRODUCT((S$6:S251=S252)*(X$6:X251=X252))</f>
        <v>0</v>
      </c>
      <c r="W252" s="34">
        <f>-SUMPRODUCT((S$6:S251=S252)*(X$6:X251=X252)*(B$6:B251&lt;&gt;"NS"))</f>
        <v>0</v>
      </c>
      <c r="X252" s="35">
        <f t="shared" si="36"/>
        <v>445.26949999999999</v>
      </c>
      <c r="Y252" s="27">
        <v>250</v>
      </c>
      <c r="Z252" s="27">
        <v>195</v>
      </c>
      <c r="AA252" s="29"/>
      <c r="AB252" s="27"/>
      <c r="AC252" s="27"/>
      <c r="AD252" s="27"/>
      <c r="AF252" s="36">
        <v>0</v>
      </c>
      <c r="AG252" s="36">
        <v>0</v>
      </c>
      <c r="AH252" s="36">
        <v>0</v>
      </c>
      <c r="AI252" s="36">
        <v>0</v>
      </c>
      <c r="AJ252" s="37">
        <v>2</v>
      </c>
      <c r="AK252" s="38">
        <v>445.24599999999998</v>
      </c>
      <c r="AL252" s="39">
        <v>250</v>
      </c>
      <c r="AM252" s="32">
        <v>695</v>
      </c>
      <c r="AN252" s="39"/>
      <c r="AO252" s="39"/>
      <c r="AP252" s="39"/>
      <c r="AQ252" s="50"/>
      <c r="AS252" s="1"/>
    </row>
    <row r="253" spans="1:45" s="26" customFormat="1" ht="15">
      <c r="A253" s="61">
        <v>36</v>
      </c>
      <c r="B253" s="61">
        <v>35</v>
      </c>
      <c r="C253" s="61"/>
      <c r="D253" s="61"/>
      <c r="E253" s="61" t="s">
        <v>568</v>
      </c>
      <c r="F253" s="29" t="s">
        <v>53</v>
      </c>
      <c r="G253" s="29">
        <v>208</v>
      </c>
      <c r="H253" s="27">
        <v>218</v>
      </c>
      <c r="I253" s="27"/>
      <c r="J253" s="27"/>
      <c r="K253" s="27"/>
      <c r="L253" s="27"/>
      <c r="M253" s="32">
        <f t="shared" si="30"/>
        <v>426</v>
      </c>
      <c r="N253" s="32" t="s">
        <v>1330</v>
      </c>
      <c r="O253" s="32"/>
      <c r="P253" s="32">
        <f t="shared" si="31"/>
        <v>425.9753</v>
      </c>
      <c r="Q253" s="32">
        <f t="shared" si="32"/>
        <v>2</v>
      </c>
      <c r="R253" s="32">
        <f t="shared" ca="1" si="33"/>
        <v>0</v>
      </c>
      <c r="S253" s="33" t="s">
        <v>43</v>
      </c>
      <c r="T253" s="34">
        <f t="shared" si="34"/>
        <v>0</v>
      </c>
      <c r="U253" s="34">
        <f t="shared" ca="1" si="35"/>
        <v>0</v>
      </c>
      <c r="V253" s="34">
        <f>-SUMPRODUCT((S$6:S252=S253)*(X$6:X252=X253))</f>
        <v>0</v>
      </c>
      <c r="W253" s="34">
        <f>-SUMPRODUCT((S$6:S252=S253)*(X$6:X252=X253)*(B$6:B252&lt;&gt;"NS"))</f>
        <v>0</v>
      </c>
      <c r="X253" s="35">
        <f t="shared" si="36"/>
        <v>426.23880000000003</v>
      </c>
      <c r="Y253" s="27">
        <v>218</v>
      </c>
      <c r="Z253" s="29">
        <v>208</v>
      </c>
      <c r="AA253" s="27"/>
      <c r="AB253" s="27"/>
      <c r="AC253" s="27"/>
      <c r="AD253" s="27"/>
      <c r="AF253" s="36">
        <v>0</v>
      </c>
      <c r="AG253" s="36">
        <v>0</v>
      </c>
      <c r="AH253" s="36">
        <v>0</v>
      </c>
      <c r="AI253" s="36">
        <v>0</v>
      </c>
      <c r="AJ253" s="37">
        <v>2</v>
      </c>
      <c r="AK253" s="38">
        <v>426.21500000000003</v>
      </c>
      <c r="AL253" s="39">
        <v>218</v>
      </c>
      <c r="AM253" s="32">
        <v>644</v>
      </c>
      <c r="AN253" s="39"/>
      <c r="AO253" s="39"/>
      <c r="AP253" s="39"/>
      <c r="AQ253" s="50"/>
      <c r="AS253" s="1"/>
    </row>
    <row r="254" spans="1:45" s="26" customFormat="1" ht="15">
      <c r="A254" s="61">
        <v>37</v>
      </c>
      <c r="B254" s="61">
        <v>36</v>
      </c>
      <c r="C254" s="61"/>
      <c r="D254" s="61"/>
      <c r="E254" s="61" t="s">
        <v>269</v>
      </c>
      <c r="F254" s="29" t="s">
        <v>69</v>
      </c>
      <c r="G254" s="29">
        <v>50</v>
      </c>
      <c r="H254" s="27">
        <v>74</v>
      </c>
      <c r="I254" s="27">
        <v>98</v>
      </c>
      <c r="J254" s="27">
        <v>138</v>
      </c>
      <c r="K254" s="27">
        <v>185</v>
      </c>
      <c r="L254" s="27"/>
      <c r="M254" s="32">
        <f t="shared" si="30"/>
        <v>421</v>
      </c>
      <c r="N254" s="32" t="s">
        <v>1330</v>
      </c>
      <c r="O254" s="32"/>
      <c r="P254" s="32">
        <f t="shared" si="31"/>
        <v>420.97519999999997</v>
      </c>
      <c r="Q254" s="32">
        <f t="shared" si="32"/>
        <v>5</v>
      </c>
      <c r="R254" s="32">
        <f t="shared" ca="1" si="33"/>
        <v>0</v>
      </c>
      <c r="S254" s="33" t="s">
        <v>43</v>
      </c>
      <c r="T254" s="34">
        <f t="shared" si="34"/>
        <v>0</v>
      </c>
      <c r="U254" s="34">
        <f t="shared" ca="1" si="35"/>
        <v>185</v>
      </c>
      <c r="V254" s="34">
        <f>-SUMPRODUCT((S$6:S253=S254)*(X$6:X253=X254))</f>
        <v>0</v>
      </c>
      <c r="W254" s="34">
        <f>-SUMPRODUCT((S$6:S253=S254)*(X$6:X253=X254)*(B$6:B253&lt;&gt;"NS"))</f>
        <v>0</v>
      </c>
      <c r="X254" s="35">
        <f t="shared" si="36"/>
        <v>421.19977999999998</v>
      </c>
      <c r="Y254" s="27">
        <v>185</v>
      </c>
      <c r="Z254" s="27">
        <v>138</v>
      </c>
      <c r="AA254" s="27">
        <v>98</v>
      </c>
      <c r="AB254" s="27">
        <v>74</v>
      </c>
      <c r="AC254" s="29">
        <v>50</v>
      </c>
      <c r="AD254" s="27"/>
      <c r="AF254" s="36">
        <v>0</v>
      </c>
      <c r="AG254" s="36">
        <v>0</v>
      </c>
      <c r="AH254" s="36">
        <v>0</v>
      </c>
      <c r="AI254" s="36">
        <v>0</v>
      </c>
      <c r="AJ254" s="37">
        <v>4</v>
      </c>
      <c r="AK254" s="38">
        <v>310.12398999999994</v>
      </c>
      <c r="AL254" s="39">
        <v>138</v>
      </c>
      <c r="AM254" s="32">
        <v>374</v>
      </c>
      <c r="AN254" s="39"/>
      <c r="AO254" s="39"/>
      <c r="AP254" s="39"/>
      <c r="AQ254" s="50"/>
      <c r="AS254" s="1"/>
    </row>
    <row r="255" spans="1:45" s="26" customFormat="1" ht="15">
      <c r="A255" s="61">
        <v>38</v>
      </c>
      <c r="B255" s="61" t="s">
        <v>111</v>
      </c>
      <c r="C255" s="61"/>
      <c r="D255" s="61"/>
      <c r="E255" s="61" t="s">
        <v>569</v>
      </c>
      <c r="F255" s="29" t="s">
        <v>201</v>
      </c>
      <c r="G255" s="29">
        <v>219</v>
      </c>
      <c r="H255" s="27">
        <v>191</v>
      </c>
      <c r="I255" s="27"/>
      <c r="J255" s="27"/>
      <c r="K255" s="27"/>
      <c r="L255" s="27"/>
      <c r="M255" s="32">
        <f t="shared" si="30"/>
        <v>410</v>
      </c>
      <c r="N255" s="32" t="s">
        <v>1331</v>
      </c>
      <c r="O255" s="32"/>
      <c r="P255" s="32">
        <f t="shared" si="31"/>
        <v>409.9751</v>
      </c>
      <c r="Q255" s="32">
        <f t="shared" si="32"/>
        <v>2</v>
      </c>
      <c r="R255" s="32">
        <f t="shared" ca="1" si="33"/>
        <v>0</v>
      </c>
      <c r="S255" s="33" t="s">
        <v>43</v>
      </c>
      <c r="T255" s="34">
        <f t="shared" si="34"/>
        <v>0</v>
      </c>
      <c r="U255" s="34">
        <f t="shared" ca="1" si="35"/>
        <v>0</v>
      </c>
      <c r="V255" s="34">
        <f>-SUMPRODUCT((S$6:S254=S255)*(X$6:X254=X255))</f>
        <v>0</v>
      </c>
      <c r="W255" s="34">
        <f>-SUMPRODUCT((S$6:S254=S255)*(X$6:X254=X255)*(B$6:B254&lt;&gt;"NS"))</f>
        <v>0</v>
      </c>
      <c r="X255" s="35">
        <f t="shared" si="36"/>
        <v>410.23809999999997</v>
      </c>
      <c r="Y255" s="29">
        <v>219</v>
      </c>
      <c r="Z255" s="27">
        <v>191</v>
      </c>
      <c r="AA255" s="27"/>
      <c r="AB255" s="27"/>
      <c r="AC255" s="27"/>
      <c r="AD255" s="27"/>
      <c r="AF255" s="36">
        <v>0</v>
      </c>
      <c r="AG255" s="36">
        <v>0</v>
      </c>
      <c r="AH255" s="36">
        <v>0</v>
      </c>
      <c r="AI255" s="36">
        <v>0</v>
      </c>
      <c r="AJ255" s="37">
        <v>2</v>
      </c>
      <c r="AK255" s="38">
        <v>410.21419999999995</v>
      </c>
      <c r="AL255" s="39">
        <v>219</v>
      </c>
      <c r="AM255" s="32">
        <v>0</v>
      </c>
      <c r="AN255" s="39"/>
      <c r="AO255" s="39"/>
      <c r="AP255" s="39"/>
      <c r="AQ255" s="50"/>
      <c r="AS255" s="1"/>
    </row>
    <row r="256" spans="1:45" s="26" customFormat="1" ht="15">
      <c r="A256" s="61">
        <v>39</v>
      </c>
      <c r="B256" s="61">
        <v>37</v>
      </c>
      <c r="C256" s="61"/>
      <c r="D256" s="61"/>
      <c r="E256" s="61" t="s">
        <v>283</v>
      </c>
      <c r="F256" s="29" t="s">
        <v>88</v>
      </c>
      <c r="G256" s="29"/>
      <c r="H256" s="27">
        <v>54</v>
      </c>
      <c r="I256" s="27">
        <v>90</v>
      </c>
      <c r="J256" s="27">
        <v>127</v>
      </c>
      <c r="K256" s="27">
        <v>180</v>
      </c>
      <c r="L256" s="27"/>
      <c r="M256" s="32">
        <f t="shared" si="30"/>
        <v>397</v>
      </c>
      <c r="N256" s="32" t="s">
        <v>1330</v>
      </c>
      <c r="O256" s="32"/>
      <c r="P256" s="32">
        <f t="shared" si="31"/>
        <v>396.97500000000002</v>
      </c>
      <c r="Q256" s="32">
        <f t="shared" si="32"/>
        <v>4</v>
      </c>
      <c r="R256" s="32">
        <f t="shared" ca="1" si="33"/>
        <v>0</v>
      </c>
      <c r="S256" s="33" t="s">
        <v>43</v>
      </c>
      <c r="T256" s="34">
        <f t="shared" si="34"/>
        <v>0</v>
      </c>
      <c r="U256" s="34">
        <f t="shared" ca="1" si="35"/>
        <v>180</v>
      </c>
      <c r="V256" s="34">
        <f>-SUMPRODUCT((S$6:S255=S256)*(X$6:X255=X256))</f>
        <v>0</v>
      </c>
      <c r="W256" s="34">
        <f>-SUMPRODUCT((S$6:S255=S256)*(X$6:X255=X256)*(B$6:B255&lt;&gt;"NS"))</f>
        <v>0</v>
      </c>
      <c r="X256" s="35">
        <f t="shared" si="36"/>
        <v>397.1936</v>
      </c>
      <c r="Y256" s="27">
        <v>180</v>
      </c>
      <c r="Z256" s="27">
        <v>127</v>
      </c>
      <c r="AA256" s="27">
        <v>90</v>
      </c>
      <c r="AB256" s="27">
        <v>54</v>
      </c>
      <c r="AC256" s="29"/>
      <c r="AD256" s="27"/>
      <c r="AF256" s="36">
        <v>0</v>
      </c>
      <c r="AG256" s="36">
        <v>0</v>
      </c>
      <c r="AH256" s="36">
        <v>0</v>
      </c>
      <c r="AI256" s="36">
        <v>0</v>
      </c>
      <c r="AJ256" s="37">
        <v>3</v>
      </c>
      <c r="AK256" s="38">
        <v>271.11154000000005</v>
      </c>
      <c r="AL256" s="39">
        <v>127</v>
      </c>
      <c r="AM256" s="32">
        <v>344</v>
      </c>
      <c r="AN256" s="39"/>
      <c r="AO256" s="39"/>
      <c r="AP256" s="39"/>
      <c r="AQ256" s="50"/>
      <c r="AS256" s="1"/>
    </row>
    <row r="257" spans="1:45" s="26" customFormat="1" ht="15">
      <c r="A257" s="61">
        <v>40</v>
      </c>
      <c r="B257" s="61">
        <v>38</v>
      </c>
      <c r="C257" s="61"/>
      <c r="D257" s="61"/>
      <c r="E257" s="61" t="s">
        <v>570</v>
      </c>
      <c r="F257" s="29" t="s">
        <v>69</v>
      </c>
      <c r="G257" s="29">
        <v>175</v>
      </c>
      <c r="H257" s="27"/>
      <c r="I257" s="27">
        <v>212</v>
      </c>
      <c r="J257" s="27"/>
      <c r="K257" s="27"/>
      <c r="L257" s="27"/>
      <c r="M257" s="32">
        <f t="shared" si="30"/>
        <v>387</v>
      </c>
      <c r="N257" s="32" t="s">
        <v>1330</v>
      </c>
      <c r="O257" s="32"/>
      <c r="P257" s="32">
        <f t="shared" si="31"/>
        <v>386.97489999999999</v>
      </c>
      <c r="Q257" s="32">
        <f t="shared" si="32"/>
        <v>2</v>
      </c>
      <c r="R257" s="32">
        <f t="shared" ca="1" si="33"/>
        <v>0</v>
      </c>
      <c r="S257" s="33" t="s">
        <v>43</v>
      </c>
      <c r="T257" s="34">
        <f t="shared" si="34"/>
        <v>0</v>
      </c>
      <c r="U257" s="34">
        <f t="shared" ca="1" si="35"/>
        <v>0</v>
      </c>
      <c r="V257" s="34">
        <f>-SUMPRODUCT((S$6:S256=S257)*(X$6:X256=X257))</f>
        <v>0</v>
      </c>
      <c r="W257" s="34">
        <f>-SUMPRODUCT((S$6:S256=S257)*(X$6:X256=X257)*(B$6:B256&lt;&gt;"NS"))</f>
        <v>0</v>
      </c>
      <c r="X257" s="35">
        <f t="shared" si="36"/>
        <v>387.22949999999997</v>
      </c>
      <c r="Y257" s="27">
        <v>212</v>
      </c>
      <c r="Z257" s="29">
        <v>175</v>
      </c>
      <c r="AA257" s="27"/>
      <c r="AB257" s="27"/>
      <c r="AC257" s="27"/>
      <c r="AD257" s="27"/>
      <c r="AF257" s="36">
        <v>0</v>
      </c>
      <c r="AG257" s="36">
        <v>0</v>
      </c>
      <c r="AH257" s="36">
        <v>0</v>
      </c>
      <c r="AI257" s="36">
        <v>0</v>
      </c>
      <c r="AJ257" s="37">
        <v>2</v>
      </c>
      <c r="AK257" s="38">
        <v>387.20529999999997</v>
      </c>
      <c r="AL257" s="39">
        <v>212</v>
      </c>
      <c r="AM257" s="32">
        <v>599</v>
      </c>
      <c r="AN257" s="39"/>
      <c r="AO257" s="39"/>
      <c r="AP257" s="39"/>
      <c r="AQ257" s="50"/>
      <c r="AS257" s="1"/>
    </row>
    <row r="258" spans="1:45" s="26" customFormat="1" ht="15">
      <c r="A258" s="61">
        <v>41</v>
      </c>
      <c r="B258" s="61">
        <v>39</v>
      </c>
      <c r="C258" s="61"/>
      <c r="D258" s="61"/>
      <c r="E258" s="61" t="s">
        <v>301</v>
      </c>
      <c r="F258" s="29" t="s">
        <v>47</v>
      </c>
      <c r="G258" s="29"/>
      <c r="H258" s="27">
        <v>65</v>
      </c>
      <c r="I258" s="27">
        <v>97</v>
      </c>
      <c r="J258" s="27">
        <v>117</v>
      </c>
      <c r="K258" s="27">
        <v>170</v>
      </c>
      <c r="L258" s="27"/>
      <c r="M258" s="32">
        <f t="shared" si="30"/>
        <v>384</v>
      </c>
      <c r="N258" s="32" t="s">
        <v>1330</v>
      </c>
      <c r="O258" s="32"/>
      <c r="P258" s="32">
        <f t="shared" si="31"/>
        <v>383.97480000000002</v>
      </c>
      <c r="Q258" s="32">
        <f t="shared" si="32"/>
        <v>4</v>
      </c>
      <c r="R258" s="32">
        <f t="shared" ca="1" si="33"/>
        <v>0</v>
      </c>
      <c r="S258" s="33" t="s">
        <v>43</v>
      </c>
      <c r="T258" s="34">
        <f t="shared" si="34"/>
        <v>0</v>
      </c>
      <c r="U258" s="34">
        <f t="shared" ca="1" si="35"/>
        <v>170</v>
      </c>
      <c r="V258" s="34">
        <f>-SUMPRODUCT((S$6:S257=S258)*(X$6:X257=X258))</f>
        <v>0</v>
      </c>
      <c r="W258" s="34">
        <f>-SUMPRODUCT((S$6:S257=S258)*(X$6:X257=X258)*(B$6:B257&lt;&gt;"NS"))</f>
        <v>0</v>
      </c>
      <c r="X258" s="35">
        <f t="shared" si="36"/>
        <v>384.18266999999997</v>
      </c>
      <c r="Y258" s="27">
        <v>170</v>
      </c>
      <c r="Z258" s="27">
        <v>117</v>
      </c>
      <c r="AA258" s="27">
        <v>97</v>
      </c>
      <c r="AB258" s="27">
        <v>65</v>
      </c>
      <c r="AC258" s="29"/>
      <c r="AD258" s="27"/>
      <c r="AF258" s="36">
        <v>0</v>
      </c>
      <c r="AG258" s="36">
        <v>0</v>
      </c>
      <c r="AH258" s="36">
        <v>0</v>
      </c>
      <c r="AI258" s="36">
        <v>0</v>
      </c>
      <c r="AJ258" s="37">
        <v>3</v>
      </c>
      <c r="AK258" s="38">
        <v>279.10255000000001</v>
      </c>
      <c r="AL258" s="39">
        <v>117</v>
      </c>
      <c r="AM258" s="32">
        <v>331</v>
      </c>
      <c r="AN258" s="39"/>
      <c r="AO258" s="39"/>
      <c r="AP258" s="39"/>
      <c r="AQ258" s="50"/>
      <c r="AS258" s="1"/>
    </row>
    <row r="259" spans="1:45" s="26" customFormat="1" ht="15">
      <c r="A259" s="61">
        <v>42</v>
      </c>
      <c r="B259" s="61">
        <v>40</v>
      </c>
      <c r="C259" s="61"/>
      <c r="D259" s="61"/>
      <c r="E259" s="61" t="s">
        <v>571</v>
      </c>
      <c r="F259" s="29" t="s">
        <v>162</v>
      </c>
      <c r="G259" s="29">
        <v>174</v>
      </c>
      <c r="H259" s="27">
        <v>202</v>
      </c>
      <c r="I259" s="27"/>
      <c r="J259" s="27"/>
      <c r="K259" s="27"/>
      <c r="L259" s="27"/>
      <c r="M259" s="32">
        <f t="shared" si="30"/>
        <v>376</v>
      </c>
      <c r="N259" s="32" t="s">
        <v>1330</v>
      </c>
      <c r="O259" s="32"/>
      <c r="P259" s="32">
        <f t="shared" si="31"/>
        <v>375.97469999999998</v>
      </c>
      <c r="Q259" s="32">
        <f t="shared" si="32"/>
        <v>2</v>
      </c>
      <c r="R259" s="32">
        <f t="shared" ca="1" si="33"/>
        <v>0</v>
      </c>
      <c r="S259" s="33" t="s">
        <v>43</v>
      </c>
      <c r="T259" s="34">
        <f t="shared" si="34"/>
        <v>0</v>
      </c>
      <c r="U259" s="34">
        <f t="shared" ca="1" si="35"/>
        <v>0</v>
      </c>
      <c r="V259" s="34">
        <f>-SUMPRODUCT((S$6:S258=S259)*(X$6:X258=X259))</f>
        <v>0</v>
      </c>
      <c r="W259" s="34">
        <f>-SUMPRODUCT((S$6:S258=S259)*(X$6:X258=X259)*(B$6:B258&lt;&gt;"NS"))</f>
        <v>0</v>
      </c>
      <c r="X259" s="35">
        <f t="shared" si="36"/>
        <v>376.21940000000001</v>
      </c>
      <c r="Y259" s="27">
        <v>202</v>
      </c>
      <c r="Z259" s="29">
        <v>174</v>
      </c>
      <c r="AA259" s="27"/>
      <c r="AB259" s="27"/>
      <c r="AC259" s="27"/>
      <c r="AD259" s="27"/>
      <c r="AF259" s="36">
        <v>0</v>
      </c>
      <c r="AG259" s="36">
        <v>0</v>
      </c>
      <c r="AH259" s="36">
        <v>0</v>
      </c>
      <c r="AI259" s="36">
        <v>0</v>
      </c>
      <c r="AJ259" s="37">
        <v>2</v>
      </c>
      <c r="AK259" s="38">
        <v>376.19510000000002</v>
      </c>
      <c r="AL259" s="39">
        <v>202</v>
      </c>
      <c r="AM259" s="32">
        <v>578</v>
      </c>
      <c r="AN259" s="39"/>
      <c r="AO259" s="39"/>
      <c r="AP259" s="39"/>
      <c r="AQ259" s="50"/>
      <c r="AS259" s="1"/>
    </row>
    <row r="260" spans="1:45" s="26" customFormat="1" ht="15">
      <c r="A260" s="61">
        <v>43</v>
      </c>
      <c r="B260" s="61">
        <v>41</v>
      </c>
      <c r="C260" s="61"/>
      <c r="D260" s="61"/>
      <c r="E260" s="61" t="s">
        <v>572</v>
      </c>
      <c r="F260" s="29" t="s">
        <v>66</v>
      </c>
      <c r="G260" s="29">
        <v>112</v>
      </c>
      <c r="H260" s="27">
        <v>108</v>
      </c>
      <c r="I260" s="27">
        <v>152</v>
      </c>
      <c r="J260" s="27"/>
      <c r="K260" s="27"/>
      <c r="L260" s="27"/>
      <c r="M260" s="32">
        <f t="shared" si="30"/>
        <v>372</v>
      </c>
      <c r="N260" s="32" t="s">
        <v>1330</v>
      </c>
      <c r="O260" s="32"/>
      <c r="P260" s="32">
        <f t="shared" si="31"/>
        <v>371.97460000000001</v>
      </c>
      <c r="Q260" s="32">
        <f t="shared" si="32"/>
        <v>3</v>
      </c>
      <c r="R260" s="32">
        <f t="shared" ca="1" si="33"/>
        <v>0</v>
      </c>
      <c r="S260" s="33" t="s">
        <v>43</v>
      </c>
      <c r="T260" s="34">
        <f t="shared" si="34"/>
        <v>0</v>
      </c>
      <c r="U260" s="34">
        <f t="shared" ca="1" si="35"/>
        <v>0</v>
      </c>
      <c r="V260" s="34">
        <f>-SUMPRODUCT((S$6:S259=S260)*(X$6:X259=X260))</f>
        <v>0</v>
      </c>
      <c r="W260" s="34">
        <f>-SUMPRODUCT((S$6:S259=S260)*(X$6:X259=X260)*(B$6:B259&lt;&gt;"NS"))</f>
        <v>0</v>
      </c>
      <c r="X260" s="35">
        <f t="shared" si="36"/>
        <v>372.16428000000002</v>
      </c>
      <c r="Y260" s="27">
        <v>152</v>
      </c>
      <c r="Z260" s="29">
        <v>112</v>
      </c>
      <c r="AA260" s="27">
        <v>108</v>
      </c>
      <c r="AB260" s="27"/>
      <c r="AC260" s="27"/>
      <c r="AD260" s="27"/>
      <c r="AF260" s="36">
        <v>0</v>
      </c>
      <c r="AG260" s="36">
        <v>0</v>
      </c>
      <c r="AH260" s="36">
        <v>0</v>
      </c>
      <c r="AI260" s="36">
        <v>0</v>
      </c>
      <c r="AJ260" s="37">
        <v>3</v>
      </c>
      <c r="AK260" s="38">
        <v>372.13987999999995</v>
      </c>
      <c r="AL260" s="39">
        <v>152</v>
      </c>
      <c r="AM260" s="32">
        <v>416</v>
      </c>
      <c r="AN260" s="39"/>
      <c r="AO260" s="39"/>
      <c r="AP260" s="39"/>
      <c r="AQ260" s="50"/>
      <c r="AS260" s="1"/>
    </row>
    <row r="261" spans="1:45" s="26" customFormat="1" ht="15">
      <c r="A261" s="61">
        <v>44</v>
      </c>
      <c r="B261" s="61">
        <v>42</v>
      </c>
      <c r="C261" s="61"/>
      <c r="D261" s="61"/>
      <c r="E261" s="61" t="s">
        <v>291</v>
      </c>
      <c r="F261" s="29" t="s">
        <v>38</v>
      </c>
      <c r="G261" s="29">
        <v>51</v>
      </c>
      <c r="H261" s="27"/>
      <c r="I261" s="27"/>
      <c r="J261" s="27">
        <v>137</v>
      </c>
      <c r="K261" s="27">
        <v>174</v>
      </c>
      <c r="L261" s="27"/>
      <c r="M261" s="32">
        <f t="shared" si="30"/>
        <v>362</v>
      </c>
      <c r="N261" s="32" t="s">
        <v>1330</v>
      </c>
      <c r="O261" s="32"/>
      <c r="P261" s="32">
        <f t="shared" si="31"/>
        <v>361.97449999999998</v>
      </c>
      <c r="Q261" s="32">
        <f t="shared" si="32"/>
        <v>3</v>
      </c>
      <c r="R261" s="32">
        <f t="shared" ca="1" si="33"/>
        <v>0</v>
      </c>
      <c r="S261" s="33" t="s">
        <v>43</v>
      </c>
      <c r="T261" s="34">
        <f t="shared" si="34"/>
        <v>0</v>
      </c>
      <c r="U261" s="34">
        <f t="shared" ca="1" si="35"/>
        <v>174</v>
      </c>
      <c r="V261" s="34">
        <f>-SUMPRODUCT((S$6:S260=S261)*(X$6:X260=X261))</f>
        <v>0</v>
      </c>
      <c r="W261" s="34">
        <f>-SUMPRODUCT((S$6:S260=S261)*(X$6:X260=X261)*(B$6:B260&lt;&gt;"NS"))</f>
        <v>0</v>
      </c>
      <c r="X261" s="35">
        <f t="shared" si="36"/>
        <v>362.18821000000003</v>
      </c>
      <c r="Y261" s="27">
        <v>174</v>
      </c>
      <c r="Z261" s="27">
        <v>137</v>
      </c>
      <c r="AA261" s="29">
        <v>51</v>
      </c>
      <c r="AB261" s="27"/>
      <c r="AC261" s="27"/>
      <c r="AD261" s="27"/>
      <c r="AF261" s="36">
        <v>0</v>
      </c>
      <c r="AG261" s="36">
        <v>0</v>
      </c>
      <c r="AH261" s="36">
        <v>0</v>
      </c>
      <c r="AI261" s="36">
        <v>0</v>
      </c>
      <c r="AJ261" s="37">
        <v>2</v>
      </c>
      <c r="AK261" s="38">
        <v>188.11599999999999</v>
      </c>
      <c r="AL261" s="39">
        <v>137</v>
      </c>
      <c r="AM261" s="32">
        <v>325</v>
      </c>
      <c r="AN261" s="39"/>
      <c r="AO261" s="39"/>
      <c r="AP261" s="39"/>
      <c r="AQ261" s="50"/>
      <c r="AS261" s="1"/>
    </row>
    <row r="262" spans="1:45" s="26" customFormat="1" ht="15">
      <c r="A262" s="61">
        <v>45</v>
      </c>
      <c r="B262" s="61">
        <v>43</v>
      </c>
      <c r="C262" s="61"/>
      <c r="D262" s="61"/>
      <c r="E262" s="61" t="s">
        <v>573</v>
      </c>
      <c r="F262" s="29" t="s">
        <v>29</v>
      </c>
      <c r="G262" s="29">
        <v>157</v>
      </c>
      <c r="H262" s="27"/>
      <c r="I262" s="27">
        <v>197</v>
      </c>
      <c r="J262" s="27"/>
      <c r="K262" s="27"/>
      <c r="L262" s="27"/>
      <c r="M262" s="32">
        <f t="shared" si="30"/>
        <v>354</v>
      </c>
      <c r="N262" s="32" t="s">
        <v>1330</v>
      </c>
      <c r="O262" s="32"/>
      <c r="P262" s="32">
        <f t="shared" si="31"/>
        <v>353.9744</v>
      </c>
      <c r="Q262" s="32">
        <f t="shared" si="32"/>
        <v>2</v>
      </c>
      <c r="R262" s="32">
        <f t="shared" ca="1" si="33"/>
        <v>0</v>
      </c>
      <c r="S262" s="33" t="s">
        <v>43</v>
      </c>
      <c r="T262" s="34">
        <f t="shared" si="34"/>
        <v>0</v>
      </c>
      <c r="U262" s="34">
        <f t="shared" ca="1" si="35"/>
        <v>0</v>
      </c>
      <c r="V262" s="34">
        <f>-SUMPRODUCT((S$6:S261=S262)*(X$6:X261=X262))</f>
        <v>0</v>
      </c>
      <c r="W262" s="34">
        <f>-SUMPRODUCT((S$6:S261=S262)*(X$6:X261=X262)*(B$6:B261&lt;&gt;"NS"))</f>
        <v>0</v>
      </c>
      <c r="X262" s="35">
        <f t="shared" si="36"/>
        <v>354.21269999999998</v>
      </c>
      <c r="Y262" s="27">
        <v>197</v>
      </c>
      <c r="Z262" s="29">
        <v>157</v>
      </c>
      <c r="AA262" s="27"/>
      <c r="AB262" s="27"/>
      <c r="AC262" s="27"/>
      <c r="AD262" s="27"/>
      <c r="AF262" s="36">
        <v>0</v>
      </c>
      <c r="AG262" s="36">
        <v>0</v>
      </c>
      <c r="AH262" s="36">
        <v>0</v>
      </c>
      <c r="AI262" s="36">
        <v>0</v>
      </c>
      <c r="AJ262" s="37">
        <v>2</v>
      </c>
      <c r="AK262" s="38">
        <v>354.18819999999999</v>
      </c>
      <c r="AL262" s="39">
        <v>197</v>
      </c>
      <c r="AM262" s="32">
        <v>551</v>
      </c>
      <c r="AN262" s="39"/>
      <c r="AO262" s="39"/>
      <c r="AP262" s="39"/>
      <c r="AQ262" s="50"/>
      <c r="AS262" s="1"/>
    </row>
    <row r="263" spans="1:45" s="26" customFormat="1" ht="15">
      <c r="A263" s="61">
        <v>46</v>
      </c>
      <c r="B263" s="61" t="s">
        <v>111</v>
      </c>
      <c r="C263" s="61"/>
      <c r="D263" s="61"/>
      <c r="E263" s="61" t="s">
        <v>323</v>
      </c>
      <c r="F263" s="29" t="s">
        <v>201</v>
      </c>
      <c r="G263" s="29">
        <v>35</v>
      </c>
      <c r="H263" s="27">
        <v>49</v>
      </c>
      <c r="I263" s="27"/>
      <c r="J263" s="27">
        <v>118</v>
      </c>
      <c r="K263" s="27">
        <v>159</v>
      </c>
      <c r="L263" s="27"/>
      <c r="M263" s="32">
        <f t="shared" si="30"/>
        <v>326</v>
      </c>
      <c r="N263" s="32" t="s">
        <v>1331</v>
      </c>
      <c r="O263" s="32"/>
      <c r="P263" s="32">
        <f t="shared" si="31"/>
        <v>325.97430000000003</v>
      </c>
      <c r="Q263" s="32">
        <f t="shared" si="32"/>
        <v>4</v>
      </c>
      <c r="R263" s="32">
        <f t="shared" ca="1" si="33"/>
        <v>0</v>
      </c>
      <c r="S263" s="33" t="s">
        <v>43</v>
      </c>
      <c r="T263" s="34">
        <f t="shared" si="34"/>
        <v>0</v>
      </c>
      <c r="U263" s="34">
        <f t="shared" ca="1" si="35"/>
        <v>159</v>
      </c>
      <c r="V263" s="34">
        <f>-SUMPRODUCT((S$6:S262=S263)*(X$6:X262=X263))</f>
        <v>0</v>
      </c>
      <c r="W263" s="34">
        <f>-SUMPRODUCT((S$6:S262=S263)*(X$6:X262=X263)*(B$6:B262&lt;&gt;"NS"))</f>
        <v>0</v>
      </c>
      <c r="X263" s="35">
        <f t="shared" si="36"/>
        <v>326.17129</v>
      </c>
      <c r="Y263" s="27">
        <v>159</v>
      </c>
      <c r="Z263" s="27">
        <v>118</v>
      </c>
      <c r="AA263" s="27">
        <v>49</v>
      </c>
      <c r="AB263" s="29">
        <v>35</v>
      </c>
      <c r="AC263" s="27"/>
      <c r="AD263" s="27"/>
      <c r="AF263" s="36">
        <v>0</v>
      </c>
      <c r="AG263" s="36">
        <v>0</v>
      </c>
      <c r="AH263" s="36">
        <v>0</v>
      </c>
      <c r="AI263" s="36">
        <v>0</v>
      </c>
      <c r="AJ263" s="37">
        <v>3</v>
      </c>
      <c r="AK263" s="38">
        <v>202.09734999999998</v>
      </c>
      <c r="AL263" s="39">
        <v>118</v>
      </c>
      <c r="AM263" s="32">
        <v>0</v>
      </c>
      <c r="AN263" s="39"/>
      <c r="AO263" s="39"/>
      <c r="AP263" s="39"/>
      <c r="AQ263" s="50"/>
      <c r="AS263" s="1"/>
    </row>
    <row r="264" spans="1:45" s="26" customFormat="1" ht="15">
      <c r="A264" s="61">
        <v>47</v>
      </c>
      <c r="B264" s="61">
        <v>44</v>
      </c>
      <c r="C264" s="61"/>
      <c r="D264" s="61"/>
      <c r="E264" s="61" t="s">
        <v>281</v>
      </c>
      <c r="F264" s="29" t="s">
        <v>25</v>
      </c>
      <c r="G264" s="29">
        <v>40</v>
      </c>
      <c r="H264" s="27"/>
      <c r="I264" s="27">
        <v>95</v>
      </c>
      <c r="J264" s="27"/>
      <c r="K264" s="27">
        <v>181</v>
      </c>
      <c r="L264" s="27"/>
      <c r="M264" s="32">
        <f t="shared" si="30"/>
        <v>316</v>
      </c>
      <c r="N264" s="32" t="s">
        <v>1330</v>
      </c>
      <c r="O264" s="32"/>
      <c r="P264" s="32">
        <f t="shared" si="31"/>
        <v>315.9742</v>
      </c>
      <c r="Q264" s="32">
        <f t="shared" si="32"/>
        <v>3</v>
      </c>
      <c r="R264" s="32">
        <f t="shared" ca="1" si="33"/>
        <v>0</v>
      </c>
      <c r="S264" s="33" t="s">
        <v>43</v>
      </c>
      <c r="T264" s="34">
        <f t="shared" si="34"/>
        <v>0</v>
      </c>
      <c r="U264" s="34">
        <f t="shared" ca="1" si="35"/>
        <v>181</v>
      </c>
      <c r="V264" s="34">
        <f>-SUMPRODUCT((S$6:S263=S264)*(X$6:X263=X264))</f>
        <v>0</v>
      </c>
      <c r="W264" s="34">
        <f>-SUMPRODUCT((S$6:S263=S264)*(X$6:X263=X264)*(B$6:B263&lt;&gt;"NS"))</f>
        <v>0</v>
      </c>
      <c r="X264" s="35">
        <f t="shared" si="36"/>
        <v>316.1909</v>
      </c>
      <c r="Y264" s="27">
        <v>181</v>
      </c>
      <c r="Z264" s="27">
        <v>95</v>
      </c>
      <c r="AA264" s="29">
        <v>40</v>
      </c>
      <c r="AB264" s="27"/>
      <c r="AC264" s="27"/>
      <c r="AD264" s="27"/>
      <c r="AF264" s="36">
        <v>0</v>
      </c>
      <c r="AG264" s="36">
        <v>0</v>
      </c>
      <c r="AH264" s="36">
        <v>0</v>
      </c>
      <c r="AI264" s="36">
        <v>0</v>
      </c>
      <c r="AJ264" s="37">
        <v>2</v>
      </c>
      <c r="AK264" s="38">
        <v>135.07169999999999</v>
      </c>
      <c r="AL264" s="39">
        <v>95</v>
      </c>
      <c r="AM264" s="32">
        <v>230</v>
      </c>
      <c r="AN264" s="39"/>
      <c r="AO264" s="39"/>
      <c r="AP264" s="39"/>
      <c r="AQ264" s="50"/>
      <c r="AS264" s="1"/>
    </row>
    <row r="265" spans="1:45" s="26" customFormat="1" ht="15">
      <c r="A265" s="61">
        <v>48</v>
      </c>
      <c r="B265" s="61">
        <v>45</v>
      </c>
      <c r="C265" s="61"/>
      <c r="D265" s="61"/>
      <c r="E265" s="61" t="s">
        <v>303</v>
      </c>
      <c r="F265" s="29" t="s">
        <v>25</v>
      </c>
      <c r="G265" s="29">
        <v>41</v>
      </c>
      <c r="H265" s="27">
        <v>52</v>
      </c>
      <c r="I265" s="27">
        <v>89</v>
      </c>
      <c r="J265" s="27"/>
      <c r="K265" s="27">
        <v>168</v>
      </c>
      <c r="L265" s="27"/>
      <c r="M265" s="32">
        <f t="shared" si="30"/>
        <v>309</v>
      </c>
      <c r="N265" s="32" t="s">
        <v>1330</v>
      </c>
      <c r="O265" s="32"/>
      <c r="P265" s="32">
        <f t="shared" si="31"/>
        <v>308.97410000000002</v>
      </c>
      <c r="Q265" s="32">
        <f t="shared" si="32"/>
        <v>4</v>
      </c>
      <c r="R265" s="32">
        <f t="shared" ca="1" si="33"/>
        <v>0</v>
      </c>
      <c r="S265" s="33" t="s">
        <v>43</v>
      </c>
      <c r="T265" s="34">
        <f t="shared" si="34"/>
        <v>0</v>
      </c>
      <c r="U265" s="34">
        <f t="shared" ca="1" si="35"/>
        <v>168</v>
      </c>
      <c r="V265" s="34">
        <f>-SUMPRODUCT((S$6:S264=S265)*(X$6:X264=X265))</f>
        <v>0</v>
      </c>
      <c r="W265" s="34">
        <f>-SUMPRODUCT((S$6:S264=S265)*(X$6:X264=X265)*(B$6:B264&lt;&gt;"NS"))</f>
        <v>0</v>
      </c>
      <c r="X265" s="35">
        <f t="shared" si="36"/>
        <v>309.17741999999998</v>
      </c>
      <c r="Y265" s="27">
        <v>168</v>
      </c>
      <c r="Z265" s="27">
        <v>89</v>
      </c>
      <c r="AA265" s="27">
        <v>52</v>
      </c>
      <c r="AB265" s="29">
        <v>41</v>
      </c>
      <c r="AC265" s="27"/>
      <c r="AD265" s="27"/>
      <c r="AF265" s="36">
        <v>0</v>
      </c>
      <c r="AG265" s="36">
        <v>0</v>
      </c>
      <c r="AH265" s="36">
        <v>0</v>
      </c>
      <c r="AI265" s="36">
        <v>0</v>
      </c>
      <c r="AJ265" s="37">
        <v>3</v>
      </c>
      <c r="AK265" s="38">
        <v>182.06831</v>
      </c>
      <c r="AL265" s="39">
        <v>89</v>
      </c>
      <c r="AM265" s="32">
        <v>230</v>
      </c>
      <c r="AN265" s="39"/>
      <c r="AO265" s="39"/>
      <c r="AP265" s="39"/>
      <c r="AQ265" s="50"/>
      <c r="AS265" s="1"/>
    </row>
    <row r="266" spans="1:45" s="26" customFormat="1" ht="15">
      <c r="A266" s="61">
        <v>49</v>
      </c>
      <c r="B266" s="61">
        <v>46</v>
      </c>
      <c r="C266" s="61"/>
      <c r="D266" s="61"/>
      <c r="E266" s="61" t="s">
        <v>349</v>
      </c>
      <c r="F266" s="29" t="s">
        <v>66</v>
      </c>
      <c r="G266" s="29">
        <v>25</v>
      </c>
      <c r="H266" s="27">
        <v>41</v>
      </c>
      <c r="I266" s="27"/>
      <c r="J266" s="27">
        <v>113</v>
      </c>
      <c r="K266" s="27">
        <v>153</v>
      </c>
      <c r="L266" s="27"/>
      <c r="M266" s="32">
        <f t="shared" si="30"/>
        <v>307</v>
      </c>
      <c r="N266" s="32" t="s">
        <v>1330</v>
      </c>
      <c r="O266" s="32"/>
      <c r="P266" s="32">
        <f t="shared" si="31"/>
        <v>306.97399999999999</v>
      </c>
      <c r="Q266" s="32">
        <f t="shared" si="32"/>
        <v>4</v>
      </c>
      <c r="R266" s="32">
        <f t="shared" ca="1" si="33"/>
        <v>0</v>
      </c>
      <c r="S266" s="33" t="s">
        <v>43</v>
      </c>
      <c r="T266" s="34">
        <f t="shared" si="34"/>
        <v>0</v>
      </c>
      <c r="U266" s="34">
        <f t="shared" ca="1" si="35"/>
        <v>153</v>
      </c>
      <c r="V266" s="34">
        <f>-SUMPRODUCT((S$6:S265=S266)*(X$6:X265=X266))</f>
        <v>0</v>
      </c>
      <c r="W266" s="34">
        <f>-SUMPRODUCT((S$6:S265=S266)*(X$6:X265=X266)*(B$6:B265&lt;&gt;"NS"))</f>
        <v>0</v>
      </c>
      <c r="X266" s="35">
        <f t="shared" si="36"/>
        <v>307.16471000000001</v>
      </c>
      <c r="Y266" s="27">
        <v>153</v>
      </c>
      <c r="Z266" s="27">
        <v>113</v>
      </c>
      <c r="AA266" s="27">
        <v>41</v>
      </c>
      <c r="AB266" s="29">
        <v>25</v>
      </c>
      <c r="AC266" s="27"/>
      <c r="AD266" s="27"/>
      <c r="AF266" s="36">
        <v>0</v>
      </c>
      <c r="AG266" s="36">
        <v>0</v>
      </c>
      <c r="AH266" s="36">
        <v>0</v>
      </c>
      <c r="AI266" s="36">
        <v>0</v>
      </c>
      <c r="AJ266" s="37">
        <v>3</v>
      </c>
      <c r="AK266" s="38">
        <v>179.09084999999999</v>
      </c>
      <c r="AL266" s="39">
        <v>113</v>
      </c>
      <c r="AM266" s="32">
        <v>267</v>
      </c>
      <c r="AN266" s="39"/>
      <c r="AO266" s="39"/>
      <c r="AP266" s="39"/>
      <c r="AQ266" s="50"/>
      <c r="AS266" s="1"/>
    </row>
    <row r="267" spans="1:45" s="26" customFormat="1" ht="15">
      <c r="A267" s="61">
        <v>50</v>
      </c>
      <c r="B267" s="61">
        <v>47</v>
      </c>
      <c r="C267" s="61"/>
      <c r="D267" s="61"/>
      <c r="E267" s="61" t="s">
        <v>574</v>
      </c>
      <c r="F267" s="29" t="s">
        <v>38</v>
      </c>
      <c r="G267" s="29">
        <v>136</v>
      </c>
      <c r="H267" s="27">
        <v>148</v>
      </c>
      <c r="I267" s="27"/>
      <c r="J267" s="27"/>
      <c r="K267" s="27"/>
      <c r="L267" s="27"/>
      <c r="M267" s="32">
        <f t="shared" si="30"/>
        <v>284</v>
      </c>
      <c r="N267" s="32" t="s">
        <v>1330</v>
      </c>
      <c r="O267" s="32"/>
      <c r="P267" s="32">
        <f t="shared" si="31"/>
        <v>283.97390000000001</v>
      </c>
      <c r="Q267" s="32">
        <f t="shared" si="32"/>
        <v>2</v>
      </c>
      <c r="R267" s="32">
        <f t="shared" ca="1" si="33"/>
        <v>0</v>
      </c>
      <c r="S267" s="33" t="s">
        <v>43</v>
      </c>
      <c r="T267" s="34">
        <f t="shared" si="34"/>
        <v>0</v>
      </c>
      <c r="U267" s="34">
        <f t="shared" ca="1" si="35"/>
        <v>0</v>
      </c>
      <c r="V267" s="34">
        <f>-SUMPRODUCT((S$6:S266=S267)*(X$6:X266=X267))</f>
        <v>0</v>
      </c>
      <c r="W267" s="34">
        <f>-SUMPRODUCT((S$6:S266=S267)*(X$6:X266=X267)*(B$6:B266&lt;&gt;"NS"))</f>
        <v>0</v>
      </c>
      <c r="X267" s="35">
        <f t="shared" si="36"/>
        <v>284.16160000000002</v>
      </c>
      <c r="Y267" s="27">
        <v>148</v>
      </c>
      <c r="Z267" s="29">
        <v>136</v>
      </c>
      <c r="AA267" s="27"/>
      <c r="AB267" s="27"/>
      <c r="AC267" s="27"/>
      <c r="AD267" s="27"/>
      <c r="AF267" s="36">
        <v>0</v>
      </c>
      <c r="AG267" s="36">
        <v>0</v>
      </c>
      <c r="AH267" s="36">
        <v>0</v>
      </c>
      <c r="AI267" s="36">
        <v>0</v>
      </c>
      <c r="AJ267" s="37">
        <v>2</v>
      </c>
      <c r="AK267" s="38">
        <v>284.13690000000003</v>
      </c>
      <c r="AL267" s="39">
        <v>148</v>
      </c>
      <c r="AM267" s="32">
        <v>432</v>
      </c>
      <c r="AN267" s="39"/>
      <c r="AO267" s="39"/>
      <c r="AP267" s="39"/>
      <c r="AQ267" s="50"/>
      <c r="AS267" s="1"/>
    </row>
    <row r="268" spans="1:45" s="26" customFormat="1" ht="15">
      <c r="A268" s="61">
        <v>51</v>
      </c>
      <c r="B268" s="61">
        <v>48</v>
      </c>
      <c r="C268" s="61"/>
      <c r="D268" s="61"/>
      <c r="E268" s="61" t="s">
        <v>575</v>
      </c>
      <c r="F268" s="29" t="s">
        <v>118</v>
      </c>
      <c r="G268" s="29"/>
      <c r="H268" s="27"/>
      <c r="I268" s="27">
        <v>123</v>
      </c>
      <c r="J268" s="27">
        <v>149</v>
      </c>
      <c r="K268" s="27"/>
      <c r="L268" s="27"/>
      <c r="M268" s="32">
        <f t="shared" si="30"/>
        <v>272</v>
      </c>
      <c r="N268" s="32" t="s">
        <v>1330</v>
      </c>
      <c r="O268" s="32"/>
      <c r="P268" s="32">
        <f t="shared" si="31"/>
        <v>271.97379999999998</v>
      </c>
      <c r="Q268" s="32">
        <f t="shared" si="32"/>
        <v>2</v>
      </c>
      <c r="R268" s="32">
        <f t="shared" ca="1" si="33"/>
        <v>0</v>
      </c>
      <c r="S268" s="33" t="s">
        <v>43</v>
      </c>
      <c r="T268" s="34">
        <f t="shared" si="34"/>
        <v>0</v>
      </c>
      <c r="U268" s="34">
        <f t="shared" ca="1" si="35"/>
        <v>0</v>
      </c>
      <c r="V268" s="34">
        <f>-SUMPRODUCT((S$6:S267=S268)*(X$6:X267=X268))</f>
        <v>0</v>
      </c>
      <c r="W268" s="34">
        <f>-SUMPRODUCT((S$6:S267=S268)*(X$6:X267=X268)*(B$6:B267&lt;&gt;"NS"))</f>
        <v>0</v>
      </c>
      <c r="X268" s="35">
        <f t="shared" si="36"/>
        <v>272.16129999999998</v>
      </c>
      <c r="Y268" s="27">
        <v>149</v>
      </c>
      <c r="Z268" s="27">
        <v>123</v>
      </c>
      <c r="AA268" s="29"/>
      <c r="AB268" s="27"/>
      <c r="AC268" s="27"/>
      <c r="AD268" s="27"/>
      <c r="AF268" s="36">
        <v>0</v>
      </c>
      <c r="AG268" s="36">
        <v>0</v>
      </c>
      <c r="AH268" s="36">
        <v>0</v>
      </c>
      <c r="AI268" s="36">
        <v>0</v>
      </c>
      <c r="AJ268" s="37">
        <v>2</v>
      </c>
      <c r="AK268" s="38">
        <v>272.13639999999998</v>
      </c>
      <c r="AL268" s="39">
        <v>149</v>
      </c>
      <c r="AM268" s="32">
        <v>421</v>
      </c>
      <c r="AN268" s="39"/>
      <c r="AO268" s="39"/>
      <c r="AP268" s="39"/>
      <c r="AQ268" s="50"/>
      <c r="AS268" s="1"/>
    </row>
    <row r="269" spans="1:45" s="26" customFormat="1" ht="15">
      <c r="A269" s="61">
        <v>52</v>
      </c>
      <c r="B269" s="61">
        <v>49</v>
      </c>
      <c r="C269" s="61"/>
      <c r="D269" s="61"/>
      <c r="E269" s="61" t="s">
        <v>576</v>
      </c>
      <c r="F269" s="29" t="s">
        <v>69</v>
      </c>
      <c r="G269" s="29">
        <v>47</v>
      </c>
      <c r="H269" s="27"/>
      <c r="I269" s="27">
        <v>100</v>
      </c>
      <c r="J269" s="27">
        <v>122</v>
      </c>
      <c r="K269" s="27"/>
      <c r="L269" s="27"/>
      <c r="M269" s="32">
        <f t="shared" si="30"/>
        <v>269</v>
      </c>
      <c r="N269" s="32" t="s">
        <v>1330</v>
      </c>
      <c r="O269" s="32"/>
      <c r="P269" s="32">
        <f t="shared" si="31"/>
        <v>268.97370000000001</v>
      </c>
      <c r="Q269" s="32">
        <f t="shared" si="32"/>
        <v>3</v>
      </c>
      <c r="R269" s="32">
        <f t="shared" ca="1" si="33"/>
        <v>0</v>
      </c>
      <c r="S269" s="33" t="s">
        <v>43</v>
      </c>
      <c r="T269" s="34">
        <f t="shared" si="34"/>
        <v>0</v>
      </c>
      <c r="U269" s="34">
        <f t="shared" ca="1" si="35"/>
        <v>0</v>
      </c>
      <c r="V269" s="34">
        <f>-SUMPRODUCT((S$6:S268=S269)*(X$6:X268=X269))</f>
        <v>0</v>
      </c>
      <c r="W269" s="34">
        <f>-SUMPRODUCT((S$6:S268=S269)*(X$6:X268=X269)*(B$6:B268&lt;&gt;"NS"))</f>
        <v>0</v>
      </c>
      <c r="X269" s="35">
        <f t="shared" si="36"/>
        <v>269.13247000000001</v>
      </c>
      <c r="Y269" s="27">
        <v>122</v>
      </c>
      <c r="Z269" s="27">
        <v>100</v>
      </c>
      <c r="AA269" s="29">
        <v>47</v>
      </c>
      <c r="AB269" s="27"/>
      <c r="AC269" s="27"/>
      <c r="AD269" s="27"/>
      <c r="AF269" s="36">
        <v>0</v>
      </c>
      <c r="AG269" s="36">
        <v>0</v>
      </c>
      <c r="AH269" s="36">
        <v>0</v>
      </c>
      <c r="AI269" s="36">
        <v>0</v>
      </c>
      <c r="AJ269" s="37">
        <v>3</v>
      </c>
      <c r="AK269" s="38">
        <v>269.10737</v>
      </c>
      <c r="AL269" s="39">
        <v>122</v>
      </c>
      <c r="AM269" s="32">
        <v>344</v>
      </c>
      <c r="AN269" s="39"/>
      <c r="AO269" s="39"/>
      <c r="AP269" s="39"/>
      <c r="AQ269" s="50"/>
      <c r="AS269" s="1"/>
    </row>
    <row r="270" spans="1:45" s="26" customFormat="1" ht="15">
      <c r="A270" s="61">
        <v>53</v>
      </c>
      <c r="B270" s="61">
        <v>50</v>
      </c>
      <c r="C270" s="61"/>
      <c r="D270" s="61"/>
      <c r="E270" s="61" t="s">
        <v>311</v>
      </c>
      <c r="F270" s="29" t="s">
        <v>53</v>
      </c>
      <c r="G270" s="29"/>
      <c r="H270" s="27"/>
      <c r="I270" s="27">
        <v>99</v>
      </c>
      <c r="J270" s="27"/>
      <c r="K270" s="27">
        <v>163</v>
      </c>
      <c r="L270" s="27"/>
      <c r="M270" s="32">
        <f t="shared" si="30"/>
        <v>262</v>
      </c>
      <c r="N270" s="32" t="s">
        <v>1330</v>
      </c>
      <c r="O270" s="32"/>
      <c r="P270" s="32">
        <f t="shared" si="31"/>
        <v>261.97359999999998</v>
      </c>
      <c r="Q270" s="32">
        <f t="shared" si="32"/>
        <v>2</v>
      </c>
      <c r="R270" s="32">
        <f t="shared" ca="1" si="33"/>
        <v>0</v>
      </c>
      <c r="S270" s="33" t="s">
        <v>43</v>
      </c>
      <c r="T270" s="34">
        <f t="shared" si="34"/>
        <v>0</v>
      </c>
      <c r="U270" s="34">
        <f t="shared" ca="1" si="35"/>
        <v>163</v>
      </c>
      <c r="V270" s="34">
        <f>-SUMPRODUCT((S$6:S269=S270)*(X$6:X269=X270))</f>
        <v>0</v>
      </c>
      <c r="W270" s="34">
        <f>-SUMPRODUCT((S$6:S269=S270)*(X$6:X269=X270)*(B$6:B269&lt;&gt;"NS"))</f>
        <v>0</v>
      </c>
      <c r="X270" s="35">
        <f t="shared" si="36"/>
        <v>262.17290000000003</v>
      </c>
      <c r="Y270" s="27">
        <v>163</v>
      </c>
      <c r="Z270" s="27">
        <v>99</v>
      </c>
      <c r="AA270" s="29"/>
      <c r="AB270" s="27"/>
      <c r="AC270" s="27"/>
      <c r="AD270" s="27"/>
      <c r="AF270" s="36">
        <v>0</v>
      </c>
      <c r="AG270" s="36">
        <v>0</v>
      </c>
      <c r="AH270" s="36">
        <v>0</v>
      </c>
      <c r="AI270" s="36">
        <v>0</v>
      </c>
      <c r="AJ270" s="37">
        <v>1</v>
      </c>
      <c r="AK270" s="38">
        <v>99.071300000000008</v>
      </c>
      <c r="AL270" s="39">
        <v>99</v>
      </c>
      <c r="AM270" s="32">
        <v>198</v>
      </c>
      <c r="AN270" s="39"/>
      <c r="AO270" s="39"/>
      <c r="AP270" s="39"/>
      <c r="AQ270" s="50"/>
      <c r="AS270" s="1"/>
    </row>
    <row r="271" spans="1:45" s="26" customFormat="1" ht="15">
      <c r="A271" s="61">
        <v>54</v>
      </c>
      <c r="B271" s="61">
        <v>51</v>
      </c>
      <c r="C271" s="61"/>
      <c r="D271" s="61"/>
      <c r="E271" s="61" t="s">
        <v>577</v>
      </c>
      <c r="F271" s="29" t="s">
        <v>38</v>
      </c>
      <c r="G271" s="29">
        <v>258</v>
      </c>
      <c r="H271" s="27"/>
      <c r="I271" s="27"/>
      <c r="J271" s="27"/>
      <c r="K271" s="27"/>
      <c r="L271" s="27"/>
      <c r="M271" s="32">
        <f t="shared" si="30"/>
        <v>258</v>
      </c>
      <c r="N271" s="32" t="s">
        <v>1330</v>
      </c>
      <c r="O271" s="32"/>
      <c r="P271" s="32">
        <f t="shared" si="31"/>
        <v>257.9735</v>
      </c>
      <c r="Q271" s="32">
        <f t="shared" si="32"/>
        <v>1</v>
      </c>
      <c r="R271" s="32">
        <f t="shared" ca="1" si="33"/>
        <v>0</v>
      </c>
      <c r="S271" s="33" t="s">
        <v>43</v>
      </c>
      <c r="T271" s="34">
        <f t="shared" si="34"/>
        <v>0</v>
      </c>
      <c r="U271" s="34">
        <f t="shared" ca="1" si="35"/>
        <v>0</v>
      </c>
      <c r="V271" s="34">
        <f>-SUMPRODUCT((S$6:S270=S271)*(X$6:X270=X271))</f>
        <v>0</v>
      </c>
      <c r="W271" s="34">
        <f>-SUMPRODUCT((S$6:S270=S271)*(X$6:X270=X271)*(B$6:B270&lt;&gt;"NS"))</f>
        <v>0</v>
      </c>
      <c r="X271" s="35">
        <f t="shared" si="36"/>
        <v>258.25799999999998</v>
      </c>
      <c r="Y271" s="29">
        <v>258</v>
      </c>
      <c r="Z271" s="27"/>
      <c r="AA271" s="27"/>
      <c r="AB271" s="27"/>
      <c r="AC271" s="27"/>
      <c r="AD271" s="27"/>
      <c r="AF271" s="36">
        <v>0</v>
      </c>
      <c r="AG271" s="36">
        <v>0</v>
      </c>
      <c r="AH271" s="36">
        <v>0</v>
      </c>
      <c r="AI271" s="36">
        <v>0</v>
      </c>
      <c r="AJ271" s="37">
        <v>1</v>
      </c>
      <c r="AK271" s="38">
        <v>258.2328</v>
      </c>
      <c r="AL271" s="39">
        <v>258</v>
      </c>
      <c r="AM271" s="32">
        <v>516</v>
      </c>
      <c r="AN271" s="39"/>
      <c r="AO271" s="39"/>
      <c r="AP271" s="39"/>
      <c r="AQ271" s="50"/>
      <c r="AS271" s="1"/>
    </row>
    <row r="272" spans="1:45" s="26" customFormat="1" ht="15">
      <c r="A272" s="61">
        <v>55</v>
      </c>
      <c r="B272" s="61">
        <v>52</v>
      </c>
      <c r="C272" s="61"/>
      <c r="D272" s="61"/>
      <c r="E272" s="61" t="s">
        <v>578</v>
      </c>
      <c r="F272" s="29" t="s">
        <v>412</v>
      </c>
      <c r="G272" s="29"/>
      <c r="H272" s="27">
        <v>253</v>
      </c>
      <c r="I272" s="27"/>
      <c r="J272" s="27"/>
      <c r="K272" s="27"/>
      <c r="L272" s="27"/>
      <c r="M272" s="32">
        <f t="shared" si="30"/>
        <v>253</v>
      </c>
      <c r="N272" s="32" t="s">
        <v>1330</v>
      </c>
      <c r="O272" s="32"/>
      <c r="P272" s="32">
        <f t="shared" si="31"/>
        <v>252.9734</v>
      </c>
      <c r="Q272" s="32">
        <f t="shared" si="32"/>
        <v>1</v>
      </c>
      <c r="R272" s="32">
        <f t="shared" ca="1" si="33"/>
        <v>0</v>
      </c>
      <c r="S272" s="33" t="s">
        <v>43</v>
      </c>
      <c r="T272" s="34">
        <f t="shared" si="34"/>
        <v>0</v>
      </c>
      <c r="U272" s="34">
        <f t="shared" ca="1" si="35"/>
        <v>0</v>
      </c>
      <c r="V272" s="34">
        <f>-SUMPRODUCT((S$6:S271=S272)*(X$6:X271=X272))</f>
        <v>0</v>
      </c>
      <c r="W272" s="34">
        <f>-SUMPRODUCT((S$6:S271=S272)*(X$6:X271=X272)*(B$6:B271&lt;&gt;"NS"))</f>
        <v>0</v>
      </c>
      <c r="X272" s="35">
        <f t="shared" si="36"/>
        <v>253.25299999999999</v>
      </c>
      <c r="Y272" s="27">
        <v>253</v>
      </c>
      <c r="Z272" s="29"/>
      <c r="AA272" s="27"/>
      <c r="AB272" s="27"/>
      <c r="AC272" s="27"/>
      <c r="AD272" s="27"/>
      <c r="AF272" s="36">
        <v>0</v>
      </c>
      <c r="AG272" s="36">
        <v>0</v>
      </c>
      <c r="AH272" s="36">
        <v>0</v>
      </c>
      <c r="AI272" s="36">
        <v>0</v>
      </c>
      <c r="AJ272" s="37">
        <v>1</v>
      </c>
      <c r="AK272" s="38">
        <v>253.2277</v>
      </c>
      <c r="AL272" s="39">
        <v>253</v>
      </c>
      <c r="AM272" s="32">
        <v>506</v>
      </c>
      <c r="AN272" s="39"/>
      <c r="AO272" s="39"/>
      <c r="AP272" s="39"/>
      <c r="AQ272" s="50"/>
      <c r="AS272" s="1"/>
    </row>
    <row r="273" spans="1:45" s="26" customFormat="1" ht="15">
      <c r="A273" s="61">
        <v>56</v>
      </c>
      <c r="B273" s="61">
        <v>53</v>
      </c>
      <c r="C273" s="61"/>
      <c r="D273" s="61"/>
      <c r="E273" s="61" t="s">
        <v>579</v>
      </c>
      <c r="F273" s="29" t="s">
        <v>38</v>
      </c>
      <c r="G273" s="29"/>
      <c r="H273" s="27">
        <v>97</v>
      </c>
      <c r="I273" s="27"/>
      <c r="J273" s="27">
        <v>153</v>
      </c>
      <c r="K273" s="27"/>
      <c r="L273" s="27"/>
      <c r="M273" s="32">
        <f t="shared" si="30"/>
        <v>250</v>
      </c>
      <c r="N273" s="32" t="s">
        <v>1330</v>
      </c>
      <c r="O273" s="32"/>
      <c r="P273" s="32">
        <f t="shared" si="31"/>
        <v>249.97329999999999</v>
      </c>
      <c r="Q273" s="32">
        <f t="shared" si="32"/>
        <v>2</v>
      </c>
      <c r="R273" s="32">
        <f t="shared" ca="1" si="33"/>
        <v>0</v>
      </c>
      <c r="S273" s="33" t="s">
        <v>43</v>
      </c>
      <c r="T273" s="34">
        <f t="shared" si="34"/>
        <v>0</v>
      </c>
      <c r="U273" s="34">
        <f t="shared" ca="1" si="35"/>
        <v>0</v>
      </c>
      <c r="V273" s="34">
        <f>-SUMPRODUCT((S$6:S272=S273)*(X$6:X272=X273))</f>
        <v>0</v>
      </c>
      <c r="W273" s="34">
        <f>-SUMPRODUCT((S$6:S272=S273)*(X$6:X272=X273)*(B$6:B272&lt;&gt;"NS"))</f>
        <v>0</v>
      </c>
      <c r="X273" s="35">
        <f t="shared" si="36"/>
        <v>250.1627</v>
      </c>
      <c r="Y273" s="27">
        <v>153</v>
      </c>
      <c r="Z273" s="27">
        <v>97</v>
      </c>
      <c r="AA273" s="29"/>
      <c r="AB273" s="27"/>
      <c r="AC273" s="27"/>
      <c r="AD273" s="27"/>
      <c r="AF273" s="36">
        <v>0</v>
      </c>
      <c r="AG273" s="36">
        <v>0</v>
      </c>
      <c r="AH273" s="36">
        <v>0</v>
      </c>
      <c r="AI273" s="36">
        <v>0</v>
      </c>
      <c r="AJ273" s="37">
        <v>2</v>
      </c>
      <c r="AK273" s="38">
        <v>250.13730000000001</v>
      </c>
      <c r="AL273" s="39">
        <v>153</v>
      </c>
      <c r="AM273" s="32">
        <v>403</v>
      </c>
      <c r="AN273" s="39"/>
      <c r="AO273" s="39"/>
      <c r="AP273" s="39"/>
      <c r="AQ273" s="50"/>
      <c r="AS273" s="1"/>
    </row>
    <row r="274" spans="1:45" s="26" customFormat="1" ht="15">
      <c r="A274" s="61">
        <v>57</v>
      </c>
      <c r="B274" s="61" t="s">
        <v>111</v>
      </c>
      <c r="C274" s="61"/>
      <c r="D274" s="61"/>
      <c r="E274" s="61" t="s">
        <v>330</v>
      </c>
      <c r="F274" s="29" t="s">
        <v>201</v>
      </c>
      <c r="G274" s="29">
        <v>28</v>
      </c>
      <c r="H274" s="27">
        <v>47</v>
      </c>
      <c r="I274" s="27"/>
      <c r="J274" s="27"/>
      <c r="K274" s="27">
        <v>157</v>
      </c>
      <c r="L274" s="27"/>
      <c r="M274" s="32">
        <f t="shared" si="30"/>
        <v>232</v>
      </c>
      <c r="N274" s="32" t="s">
        <v>1331</v>
      </c>
      <c r="O274" s="32"/>
      <c r="P274" s="32">
        <f t="shared" si="31"/>
        <v>231.97319999999999</v>
      </c>
      <c r="Q274" s="32">
        <f t="shared" si="32"/>
        <v>3</v>
      </c>
      <c r="R274" s="32">
        <f t="shared" ca="1" si="33"/>
        <v>0</v>
      </c>
      <c r="S274" s="33" t="s">
        <v>43</v>
      </c>
      <c r="T274" s="34">
        <f t="shared" si="34"/>
        <v>0</v>
      </c>
      <c r="U274" s="34">
        <f t="shared" ca="1" si="35"/>
        <v>157</v>
      </c>
      <c r="V274" s="34">
        <f>-SUMPRODUCT((S$6:S273=S274)*(X$6:X273=X274))</f>
        <v>0</v>
      </c>
      <c r="W274" s="34">
        <f>-SUMPRODUCT((S$6:S273=S274)*(X$6:X273=X274)*(B$6:B273&lt;&gt;"NS"))</f>
        <v>0</v>
      </c>
      <c r="X274" s="35">
        <f t="shared" si="36"/>
        <v>232.16198</v>
      </c>
      <c r="Y274" s="27">
        <v>157</v>
      </c>
      <c r="Z274" s="27">
        <v>47</v>
      </c>
      <c r="AA274" s="29">
        <v>28</v>
      </c>
      <c r="AB274" s="27"/>
      <c r="AC274" s="27"/>
      <c r="AD274" s="27"/>
      <c r="AF274" s="36">
        <v>0</v>
      </c>
      <c r="AG274" s="36">
        <v>0</v>
      </c>
      <c r="AH274" s="36">
        <v>0</v>
      </c>
      <c r="AI274" s="36">
        <v>0</v>
      </c>
      <c r="AJ274" s="37">
        <v>2</v>
      </c>
      <c r="AK274" s="38">
        <v>75.021899999999988</v>
      </c>
      <c r="AL274" s="39">
        <v>47</v>
      </c>
      <c r="AM274" s="32">
        <v>0</v>
      </c>
      <c r="AN274" s="39"/>
      <c r="AO274" s="39"/>
      <c r="AP274" s="39"/>
      <c r="AQ274" s="50"/>
      <c r="AS274" s="1"/>
    </row>
    <row r="275" spans="1:45" s="26" customFormat="1" ht="15">
      <c r="A275" s="61">
        <v>58</v>
      </c>
      <c r="B275" s="61">
        <v>54</v>
      </c>
      <c r="C275" s="61"/>
      <c r="D275" s="61"/>
      <c r="E275" s="61" t="s">
        <v>580</v>
      </c>
      <c r="F275" s="29" t="s">
        <v>53</v>
      </c>
      <c r="G275" s="29"/>
      <c r="H275" s="27">
        <v>214</v>
      </c>
      <c r="I275" s="27"/>
      <c r="J275" s="27"/>
      <c r="K275" s="27"/>
      <c r="L275" s="27"/>
      <c r="M275" s="32">
        <f t="shared" si="30"/>
        <v>214</v>
      </c>
      <c r="N275" s="32" t="s">
        <v>1330</v>
      </c>
      <c r="O275" s="32"/>
      <c r="P275" s="32">
        <f t="shared" si="31"/>
        <v>213.97309999999999</v>
      </c>
      <c r="Q275" s="32">
        <f t="shared" si="32"/>
        <v>1</v>
      </c>
      <c r="R275" s="32">
        <f t="shared" ca="1" si="33"/>
        <v>0</v>
      </c>
      <c r="S275" s="33" t="s">
        <v>43</v>
      </c>
      <c r="T275" s="34">
        <f t="shared" si="34"/>
        <v>0</v>
      </c>
      <c r="U275" s="34">
        <f t="shared" ca="1" si="35"/>
        <v>0</v>
      </c>
      <c r="V275" s="34">
        <f>-SUMPRODUCT((S$6:S274=S275)*(X$6:X274=X275))</f>
        <v>0</v>
      </c>
      <c r="W275" s="34">
        <f>-SUMPRODUCT((S$6:S274=S275)*(X$6:X274=X275)*(B$6:B274&lt;&gt;"NS"))</f>
        <v>0</v>
      </c>
      <c r="X275" s="35">
        <f t="shared" si="36"/>
        <v>214.214</v>
      </c>
      <c r="Y275" s="27">
        <v>214</v>
      </c>
      <c r="Z275" s="29"/>
      <c r="AA275" s="27"/>
      <c r="AB275" s="27"/>
      <c r="AC275" s="27"/>
      <c r="AD275" s="27"/>
      <c r="AF275" s="36">
        <v>0</v>
      </c>
      <c r="AG275" s="36">
        <v>0</v>
      </c>
      <c r="AH275" s="36">
        <v>0</v>
      </c>
      <c r="AI275" s="36">
        <v>0</v>
      </c>
      <c r="AJ275" s="37">
        <v>1</v>
      </c>
      <c r="AK275" s="38">
        <v>214.1884</v>
      </c>
      <c r="AL275" s="39">
        <v>214</v>
      </c>
      <c r="AM275" s="32">
        <v>428</v>
      </c>
      <c r="AN275" s="39"/>
      <c r="AO275" s="39"/>
      <c r="AP275" s="39"/>
      <c r="AQ275" s="50"/>
      <c r="AS275" s="1"/>
    </row>
    <row r="276" spans="1:45" s="26" customFormat="1" ht="15">
      <c r="A276" s="61">
        <v>59</v>
      </c>
      <c r="B276" s="61">
        <v>55</v>
      </c>
      <c r="C276" s="61"/>
      <c r="D276" s="61"/>
      <c r="E276" s="61" t="s">
        <v>581</v>
      </c>
      <c r="F276" s="29" t="s">
        <v>38</v>
      </c>
      <c r="G276" s="29"/>
      <c r="H276" s="27"/>
      <c r="I276" s="27">
        <v>213</v>
      </c>
      <c r="J276" s="27"/>
      <c r="K276" s="27"/>
      <c r="L276" s="27"/>
      <c r="M276" s="32">
        <f t="shared" si="30"/>
        <v>213</v>
      </c>
      <c r="N276" s="32" t="s">
        <v>1330</v>
      </c>
      <c r="O276" s="32"/>
      <c r="P276" s="32">
        <f t="shared" si="31"/>
        <v>212.97300000000001</v>
      </c>
      <c r="Q276" s="32">
        <f t="shared" si="32"/>
        <v>1</v>
      </c>
      <c r="R276" s="32">
        <f t="shared" ca="1" si="33"/>
        <v>0</v>
      </c>
      <c r="S276" s="33" t="s">
        <v>43</v>
      </c>
      <c r="T276" s="34">
        <f t="shared" si="34"/>
        <v>0</v>
      </c>
      <c r="U276" s="34">
        <f t="shared" ca="1" si="35"/>
        <v>0</v>
      </c>
      <c r="V276" s="34">
        <f>-SUMPRODUCT((S$6:S275=S276)*(X$6:X275=X276))</f>
        <v>0</v>
      </c>
      <c r="W276" s="34">
        <f>-SUMPRODUCT((S$6:S275=S276)*(X$6:X275=X276)*(B$6:B275&lt;&gt;"NS"))</f>
        <v>0</v>
      </c>
      <c r="X276" s="35">
        <f t="shared" si="36"/>
        <v>213.21299999999999</v>
      </c>
      <c r="Y276" s="27">
        <v>213</v>
      </c>
      <c r="Z276" s="29"/>
      <c r="AA276" s="27"/>
      <c r="AB276" s="27"/>
      <c r="AC276" s="27"/>
      <c r="AD276" s="27"/>
      <c r="AF276" s="36">
        <v>0</v>
      </c>
      <c r="AG276" s="36">
        <v>0</v>
      </c>
      <c r="AH276" s="36">
        <v>0</v>
      </c>
      <c r="AI276" s="36">
        <v>0</v>
      </c>
      <c r="AJ276" s="37">
        <v>1</v>
      </c>
      <c r="AK276" s="38">
        <v>213.18729999999999</v>
      </c>
      <c r="AL276" s="39">
        <v>213</v>
      </c>
      <c r="AM276" s="32">
        <v>426</v>
      </c>
      <c r="AN276" s="39"/>
      <c r="AO276" s="39"/>
      <c r="AP276" s="39"/>
      <c r="AQ276" s="50"/>
      <c r="AS276" s="1"/>
    </row>
    <row r="277" spans="1:45" s="26" customFormat="1" ht="15">
      <c r="A277" s="61">
        <v>60</v>
      </c>
      <c r="B277" s="61">
        <v>56</v>
      </c>
      <c r="C277" s="61"/>
      <c r="D277" s="61"/>
      <c r="E277" s="61" t="s">
        <v>582</v>
      </c>
      <c r="F277" s="29" t="s">
        <v>88</v>
      </c>
      <c r="G277" s="29"/>
      <c r="H277" s="27"/>
      <c r="I277" s="27"/>
      <c r="J277" s="27">
        <v>209</v>
      </c>
      <c r="K277" s="27"/>
      <c r="L277" s="27"/>
      <c r="M277" s="32">
        <f t="shared" si="30"/>
        <v>209</v>
      </c>
      <c r="N277" s="32" t="s">
        <v>1330</v>
      </c>
      <c r="O277" s="32"/>
      <c r="P277" s="32">
        <f t="shared" si="31"/>
        <v>208.97290000000001</v>
      </c>
      <c r="Q277" s="32">
        <f t="shared" si="32"/>
        <v>1</v>
      </c>
      <c r="R277" s="32">
        <f t="shared" ca="1" si="33"/>
        <v>0</v>
      </c>
      <c r="S277" s="33" t="s">
        <v>43</v>
      </c>
      <c r="T277" s="34">
        <f t="shared" si="34"/>
        <v>0</v>
      </c>
      <c r="U277" s="34">
        <f t="shared" ca="1" si="35"/>
        <v>0</v>
      </c>
      <c r="V277" s="34">
        <f>-SUMPRODUCT((S$6:S276=S277)*(X$6:X276=X277))</f>
        <v>0</v>
      </c>
      <c r="W277" s="34">
        <f>-SUMPRODUCT((S$6:S276=S277)*(X$6:X276=X277)*(B$6:B276&lt;&gt;"NS"))</f>
        <v>0</v>
      </c>
      <c r="X277" s="35">
        <f t="shared" si="36"/>
        <v>209.209</v>
      </c>
      <c r="Y277" s="27">
        <v>209</v>
      </c>
      <c r="Z277" s="29"/>
      <c r="AA277" s="27"/>
      <c r="AB277" s="27"/>
      <c r="AC277" s="27"/>
      <c r="AD277" s="27"/>
      <c r="AF277" s="36">
        <v>0</v>
      </c>
      <c r="AG277" s="36">
        <v>0</v>
      </c>
      <c r="AH277" s="36">
        <v>0</v>
      </c>
      <c r="AI277" s="36">
        <v>0</v>
      </c>
      <c r="AJ277" s="37">
        <v>1</v>
      </c>
      <c r="AK277" s="38">
        <v>209.1832</v>
      </c>
      <c r="AL277" s="39">
        <v>209</v>
      </c>
      <c r="AM277" s="32">
        <v>418</v>
      </c>
      <c r="AN277" s="39"/>
      <c r="AO277" s="39"/>
      <c r="AP277" s="39"/>
      <c r="AQ277" s="50"/>
      <c r="AS277" s="1"/>
    </row>
    <row r="278" spans="1:45" s="26" customFormat="1" ht="15">
      <c r="A278" s="61">
        <v>61</v>
      </c>
      <c r="B278" s="61">
        <v>57</v>
      </c>
      <c r="C278" s="61"/>
      <c r="D278" s="61"/>
      <c r="E278" s="61" t="s">
        <v>583</v>
      </c>
      <c r="F278" s="29" t="s">
        <v>118</v>
      </c>
      <c r="G278" s="29"/>
      <c r="H278" s="27">
        <v>72</v>
      </c>
      <c r="I278" s="27">
        <v>121</v>
      </c>
      <c r="J278" s="27"/>
      <c r="K278" s="27"/>
      <c r="L278" s="27"/>
      <c r="M278" s="32">
        <f t="shared" si="30"/>
        <v>193</v>
      </c>
      <c r="N278" s="32" t="s">
        <v>1330</v>
      </c>
      <c r="O278" s="32"/>
      <c r="P278" s="32">
        <f t="shared" si="31"/>
        <v>192.97280000000001</v>
      </c>
      <c r="Q278" s="32">
        <f t="shared" si="32"/>
        <v>2</v>
      </c>
      <c r="R278" s="32">
        <f t="shared" ca="1" si="33"/>
        <v>0</v>
      </c>
      <c r="S278" s="33" t="s">
        <v>43</v>
      </c>
      <c r="T278" s="34">
        <f t="shared" si="34"/>
        <v>0</v>
      </c>
      <c r="U278" s="34">
        <f t="shared" ca="1" si="35"/>
        <v>0</v>
      </c>
      <c r="V278" s="34">
        <f>-SUMPRODUCT((S$6:S277=S278)*(X$6:X277=X278))</f>
        <v>0</v>
      </c>
      <c r="W278" s="34">
        <f>-SUMPRODUCT((S$6:S277=S278)*(X$6:X277=X278)*(B$6:B277&lt;&gt;"NS"))</f>
        <v>0</v>
      </c>
      <c r="X278" s="35">
        <f t="shared" si="36"/>
        <v>193.12819999999999</v>
      </c>
      <c r="Y278" s="27">
        <v>121</v>
      </c>
      <c r="Z278" s="27">
        <v>72</v>
      </c>
      <c r="AA278" s="29"/>
      <c r="AB278" s="27"/>
      <c r="AC278" s="27"/>
      <c r="AD278" s="27"/>
      <c r="AF278" s="36">
        <v>0</v>
      </c>
      <c r="AG278" s="36">
        <v>0</v>
      </c>
      <c r="AH278" s="36">
        <v>0</v>
      </c>
      <c r="AI278" s="36">
        <v>0</v>
      </c>
      <c r="AJ278" s="37">
        <v>2</v>
      </c>
      <c r="AK278" s="38">
        <v>193.10220000000001</v>
      </c>
      <c r="AL278" s="39">
        <v>121</v>
      </c>
      <c r="AM278" s="32">
        <v>314</v>
      </c>
      <c r="AN278" s="39"/>
      <c r="AO278" s="39"/>
      <c r="AP278" s="39"/>
      <c r="AQ278" s="50"/>
      <c r="AS278" s="1"/>
    </row>
    <row r="279" spans="1:45" s="26" customFormat="1" ht="15">
      <c r="A279" s="61">
        <v>62</v>
      </c>
      <c r="B279" s="61">
        <v>58</v>
      </c>
      <c r="C279" s="61"/>
      <c r="D279" s="61"/>
      <c r="E279" s="61" t="s">
        <v>584</v>
      </c>
      <c r="F279" s="29" t="s">
        <v>61</v>
      </c>
      <c r="G279" s="29"/>
      <c r="H279" s="27"/>
      <c r="I279" s="27"/>
      <c r="J279" s="27">
        <v>185</v>
      </c>
      <c r="K279" s="27"/>
      <c r="L279" s="27"/>
      <c r="M279" s="32">
        <f t="shared" si="30"/>
        <v>185</v>
      </c>
      <c r="N279" s="32" t="s">
        <v>1330</v>
      </c>
      <c r="O279" s="32"/>
      <c r="P279" s="32">
        <f t="shared" si="31"/>
        <v>184.9727</v>
      </c>
      <c r="Q279" s="32">
        <f t="shared" si="32"/>
        <v>1</v>
      </c>
      <c r="R279" s="32">
        <f t="shared" ca="1" si="33"/>
        <v>0</v>
      </c>
      <c r="S279" s="33" t="s">
        <v>43</v>
      </c>
      <c r="T279" s="34">
        <f t="shared" si="34"/>
        <v>0</v>
      </c>
      <c r="U279" s="34">
        <f t="shared" ca="1" si="35"/>
        <v>0</v>
      </c>
      <c r="V279" s="34">
        <f>-SUMPRODUCT((S$6:S278=S279)*(X$6:X278=X279))</f>
        <v>0</v>
      </c>
      <c r="W279" s="34">
        <f>-SUMPRODUCT((S$6:S278=S279)*(X$6:X278=X279)*(B$6:B278&lt;&gt;"NS"))</f>
        <v>0</v>
      </c>
      <c r="X279" s="35">
        <f t="shared" si="36"/>
        <v>185.185</v>
      </c>
      <c r="Y279" s="27">
        <v>185</v>
      </c>
      <c r="Z279" s="29"/>
      <c r="AA279" s="27"/>
      <c r="AB279" s="27"/>
      <c r="AC279" s="27"/>
      <c r="AD279" s="27"/>
      <c r="AF279" s="36">
        <v>0</v>
      </c>
      <c r="AG279" s="36">
        <v>0</v>
      </c>
      <c r="AH279" s="36">
        <v>0</v>
      </c>
      <c r="AI279" s="36">
        <v>0</v>
      </c>
      <c r="AJ279" s="37">
        <v>1</v>
      </c>
      <c r="AK279" s="38">
        <v>185.15880000000001</v>
      </c>
      <c r="AL279" s="39">
        <v>185</v>
      </c>
      <c r="AM279" s="32">
        <v>370</v>
      </c>
      <c r="AN279" s="39"/>
      <c r="AO279" s="39"/>
      <c r="AP279" s="39"/>
      <c r="AQ279" s="50"/>
      <c r="AS279" s="1"/>
    </row>
    <row r="280" spans="1:45" s="26" customFormat="1" ht="15">
      <c r="A280" s="61">
        <v>63</v>
      </c>
      <c r="B280" s="61">
        <v>59</v>
      </c>
      <c r="C280" s="61"/>
      <c r="D280" s="61"/>
      <c r="E280" s="61" t="s">
        <v>585</v>
      </c>
      <c r="F280" s="29" t="s">
        <v>66</v>
      </c>
      <c r="G280" s="29">
        <v>179</v>
      </c>
      <c r="H280" s="27"/>
      <c r="I280" s="27"/>
      <c r="J280" s="27"/>
      <c r="K280" s="27"/>
      <c r="L280" s="27"/>
      <c r="M280" s="32">
        <f t="shared" si="30"/>
        <v>179</v>
      </c>
      <c r="N280" s="32" t="s">
        <v>1330</v>
      </c>
      <c r="O280" s="32"/>
      <c r="P280" s="32">
        <f t="shared" si="31"/>
        <v>178.9726</v>
      </c>
      <c r="Q280" s="32">
        <f t="shared" si="32"/>
        <v>1</v>
      </c>
      <c r="R280" s="32">
        <f t="shared" ca="1" si="33"/>
        <v>0</v>
      </c>
      <c r="S280" s="33" t="s">
        <v>43</v>
      </c>
      <c r="T280" s="34">
        <f t="shared" si="34"/>
        <v>0</v>
      </c>
      <c r="U280" s="34">
        <f t="shared" ca="1" si="35"/>
        <v>0</v>
      </c>
      <c r="V280" s="34">
        <f>-SUMPRODUCT((S$6:S279=S280)*(X$6:X279=X280))</f>
        <v>0</v>
      </c>
      <c r="W280" s="34">
        <f>-SUMPRODUCT((S$6:S279=S280)*(X$6:X279=X280)*(B$6:B279&lt;&gt;"NS"))</f>
        <v>0</v>
      </c>
      <c r="X280" s="35">
        <f t="shared" si="36"/>
        <v>179.179</v>
      </c>
      <c r="Y280" s="29">
        <v>179</v>
      </c>
      <c r="Z280" s="27"/>
      <c r="AA280" s="27"/>
      <c r="AB280" s="27"/>
      <c r="AC280" s="27"/>
      <c r="AD280" s="27"/>
      <c r="AF280" s="36">
        <v>0</v>
      </c>
      <c r="AG280" s="36">
        <v>0</v>
      </c>
      <c r="AH280" s="36">
        <v>0</v>
      </c>
      <c r="AI280" s="36">
        <v>0</v>
      </c>
      <c r="AJ280" s="37">
        <v>1</v>
      </c>
      <c r="AK280" s="38">
        <v>179.15260000000001</v>
      </c>
      <c r="AL280" s="39">
        <v>179</v>
      </c>
      <c r="AM280" s="32">
        <v>358</v>
      </c>
      <c r="AN280" s="39"/>
      <c r="AO280" s="39"/>
      <c r="AP280" s="39"/>
      <c r="AQ280" s="50"/>
      <c r="AS280" s="1"/>
    </row>
    <row r="281" spans="1:45" s="26" customFormat="1" ht="15">
      <c r="A281" s="61">
        <v>64</v>
      </c>
      <c r="B281" s="61">
        <v>60</v>
      </c>
      <c r="C281" s="61"/>
      <c r="D281" s="61"/>
      <c r="E281" s="61" t="s">
        <v>586</v>
      </c>
      <c r="F281" s="29" t="s">
        <v>50</v>
      </c>
      <c r="G281" s="29"/>
      <c r="H281" s="27"/>
      <c r="I281" s="27"/>
      <c r="J281" s="27">
        <v>174</v>
      </c>
      <c r="K281" s="27"/>
      <c r="L281" s="27"/>
      <c r="M281" s="32">
        <f t="shared" si="30"/>
        <v>174</v>
      </c>
      <c r="N281" s="32" t="s">
        <v>1330</v>
      </c>
      <c r="O281" s="32"/>
      <c r="P281" s="32">
        <f t="shared" si="31"/>
        <v>173.9725</v>
      </c>
      <c r="Q281" s="32">
        <f t="shared" si="32"/>
        <v>1</v>
      </c>
      <c r="R281" s="32">
        <f t="shared" ca="1" si="33"/>
        <v>0</v>
      </c>
      <c r="S281" s="33" t="s">
        <v>43</v>
      </c>
      <c r="T281" s="34">
        <f t="shared" si="34"/>
        <v>0</v>
      </c>
      <c r="U281" s="34">
        <f t="shared" ca="1" si="35"/>
        <v>0</v>
      </c>
      <c r="V281" s="34">
        <f>-SUMPRODUCT((S$6:S280=S281)*(X$6:X280=X281))</f>
        <v>0</v>
      </c>
      <c r="W281" s="34">
        <f>-SUMPRODUCT((S$6:S280=S281)*(X$6:X280=X281)*(B$6:B280&lt;&gt;"NS"))</f>
        <v>0</v>
      </c>
      <c r="X281" s="35">
        <f t="shared" si="36"/>
        <v>174.17400000000001</v>
      </c>
      <c r="Y281" s="27">
        <v>174</v>
      </c>
      <c r="Z281" s="29"/>
      <c r="AA281" s="27"/>
      <c r="AB281" s="27"/>
      <c r="AC281" s="27"/>
      <c r="AD281" s="27"/>
      <c r="AF281" s="36">
        <v>0</v>
      </c>
      <c r="AG281" s="36">
        <v>0</v>
      </c>
      <c r="AH281" s="36">
        <v>0</v>
      </c>
      <c r="AI281" s="36">
        <v>0</v>
      </c>
      <c r="AJ281" s="37">
        <v>1</v>
      </c>
      <c r="AK281" s="38">
        <v>174.1474</v>
      </c>
      <c r="AL281" s="39">
        <v>174</v>
      </c>
      <c r="AM281" s="32">
        <v>348</v>
      </c>
      <c r="AN281" s="39"/>
      <c r="AO281" s="39"/>
      <c r="AP281" s="39"/>
      <c r="AQ281" s="50"/>
      <c r="AS281" s="1"/>
    </row>
    <row r="282" spans="1:45" s="26" customFormat="1" ht="15">
      <c r="A282" s="61">
        <v>65</v>
      </c>
      <c r="B282" s="61" t="s">
        <v>111</v>
      </c>
      <c r="C282" s="61"/>
      <c r="D282" s="61"/>
      <c r="E282" s="61" t="s">
        <v>587</v>
      </c>
      <c r="F282" s="29" t="s">
        <v>201</v>
      </c>
      <c r="G282" s="29"/>
      <c r="H282" s="27"/>
      <c r="I282" s="27"/>
      <c r="J282" s="27">
        <v>166</v>
      </c>
      <c r="K282" s="27"/>
      <c r="L282" s="27"/>
      <c r="M282" s="32">
        <f t="shared" ref="M282:M293" si="37">IFERROR(LARGE(G282:L282,1),0)+IF($F$5&gt;=2,IFERROR(LARGE(G282:L282,2),0),0)+IF($F$5&gt;=3,IFERROR(LARGE(G282:L282,3),0),0)+IF($F$5&gt;=4,IFERROR(LARGE(G282:L282,4),0),0)+IF($F$5&gt;=5,IFERROR(LARGE(G282:L282,5),0),0)+IF($F$5&gt;=6,IFERROR(LARGE(G282:L282,6),0),0)</f>
        <v>166</v>
      </c>
      <c r="N282" s="32" t="s">
        <v>1331</v>
      </c>
      <c r="O282" s="32"/>
      <c r="P282" s="32">
        <f t="shared" ref="P282:P293" si="38">M282-(ROW(M282)-ROW(M$6))/10000</f>
        <v>165.97239999999999</v>
      </c>
      <c r="Q282" s="32">
        <f t="shared" ref="Q282:Q293" si="39">COUNT(G282:L282)</f>
        <v>1</v>
      </c>
      <c r="R282" s="32">
        <f t="shared" ref="R282:R293" ca="1" si="40">IF(AND(Q282=1,OFFSET(F282,0,R$3)&gt;0),"Y",0)</f>
        <v>0</v>
      </c>
      <c r="S282" s="33" t="s">
        <v>43</v>
      </c>
      <c r="T282" s="34">
        <f t="shared" ref="T282:T293" si="41">1-(S282=S281)</f>
        <v>0</v>
      </c>
      <c r="U282" s="34">
        <f t="shared" ref="U282:U293" ca="1" si="42">OFFSET(F282,0,$R$3)</f>
        <v>0</v>
      </c>
      <c r="V282" s="34">
        <f>-SUMPRODUCT((S$6:S281=S282)*(X$6:X281=X282))</f>
        <v>0</v>
      </c>
      <c r="W282" s="34">
        <f>-SUMPRODUCT((S$6:S281=S282)*(X$6:X281=X282)*(B$6:B281&lt;&gt;"NS"))</f>
        <v>0</v>
      </c>
      <c r="X282" s="35">
        <f t="shared" ref="X282:X293" si="43">M282+SUMPRODUCT(Y$4:AD$4,Y282:AD282)</f>
        <v>166.166</v>
      </c>
      <c r="Y282" s="27">
        <v>166</v>
      </c>
      <c r="Z282" s="29"/>
      <c r="AA282" s="27"/>
      <c r="AB282" s="27"/>
      <c r="AC282" s="27"/>
      <c r="AD282" s="27"/>
      <c r="AF282" s="36">
        <v>0</v>
      </c>
      <c r="AG282" s="36">
        <v>0</v>
      </c>
      <c r="AH282" s="36">
        <v>0</v>
      </c>
      <c r="AI282" s="36">
        <v>0</v>
      </c>
      <c r="AJ282" s="37">
        <v>1</v>
      </c>
      <c r="AK282" s="38">
        <v>166.13929999999999</v>
      </c>
      <c r="AL282" s="39">
        <v>166</v>
      </c>
      <c r="AM282" s="32">
        <v>0</v>
      </c>
      <c r="AN282" s="39"/>
      <c r="AO282" s="39"/>
      <c r="AP282" s="39"/>
      <c r="AQ282" s="50"/>
      <c r="AS282" s="1"/>
    </row>
    <row r="283" spans="1:45" s="26" customFormat="1" ht="15">
      <c r="A283" s="61">
        <v>66</v>
      </c>
      <c r="B283" s="61">
        <v>61</v>
      </c>
      <c r="C283" s="61"/>
      <c r="D283" s="61"/>
      <c r="E283" s="61" t="s">
        <v>588</v>
      </c>
      <c r="F283" s="29" t="s">
        <v>50</v>
      </c>
      <c r="G283" s="29">
        <v>155</v>
      </c>
      <c r="H283" s="27"/>
      <c r="I283" s="27"/>
      <c r="J283" s="27"/>
      <c r="K283" s="27"/>
      <c r="L283" s="27"/>
      <c r="M283" s="32">
        <f t="shared" si="37"/>
        <v>155</v>
      </c>
      <c r="N283" s="32" t="s">
        <v>1330</v>
      </c>
      <c r="O283" s="32"/>
      <c r="P283" s="32">
        <f t="shared" si="38"/>
        <v>154.97229999999999</v>
      </c>
      <c r="Q283" s="32">
        <f t="shared" si="39"/>
        <v>1</v>
      </c>
      <c r="R283" s="32">
        <f t="shared" ca="1" si="40"/>
        <v>0</v>
      </c>
      <c r="S283" s="33" t="s">
        <v>43</v>
      </c>
      <c r="T283" s="34">
        <f t="shared" si="41"/>
        <v>0</v>
      </c>
      <c r="U283" s="34">
        <f t="shared" ca="1" si="42"/>
        <v>0</v>
      </c>
      <c r="V283" s="34">
        <f>-SUMPRODUCT((S$6:S282=S283)*(X$6:X282=X283))</f>
        <v>0</v>
      </c>
      <c r="W283" s="34">
        <f>-SUMPRODUCT((S$6:S282=S283)*(X$6:X282=X283)*(B$6:B282&lt;&gt;"NS"))</f>
        <v>0</v>
      </c>
      <c r="X283" s="35">
        <f t="shared" si="43"/>
        <v>155.155</v>
      </c>
      <c r="Y283" s="29">
        <v>155</v>
      </c>
      <c r="Z283" s="27"/>
      <c r="AA283" s="27"/>
      <c r="AB283" s="27"/>
      <c r="AC283" s="27"/>
      <c r="AD283" s="27"/>
      <c r="AF283" s="36">
        <v>0</v>
      </c>
      <c r="AG283" s="36">
        <v>0</v>
      </c>
      <c r="AH283" s="36">
        <v>0</v>
      </c>
      <c r="AI283" s="36">
        <v>0</v>
      </c>
      <c r="AJ283" s="37">
        <v>1</v>
      </c>
      <c r="AK283" s="38">
        <v>155.12819999999999</v>
      </c>
      <c r="AL283" s="39">
        <v>155</v>
      </c>
      <c r="AM283" s="32">
        <v>310</v>
      </c>
      <c r="AN283" s="39"/>
      <c r="AO283" s="39"/>
      <c r="AP283" s="39"/>
      <c r="AQ283" s="50"/>
      <c r="AS283" s="1"/>
    </row>
    <row r="284" spans="1:45" s="26" customFormat="1" ht="15">
      <c r="A284" s="61">
        <v>67</v>
      </c>
      <c r="B284" s="61" t="s">
        <v>111</v>
      </c>
      <c r="C284" s="61"/>
      <c r="D284" s="61"/>
      <c r="E284" s="61" t="s">
        <v>589</v>
      </c>
      <c r="F284" s="29" t="s">
        <v>201</v>
      </c>
      <c r="G284" s="29">
        <v>27</v>
      </c>
      <c r="H284" s="27">
        <v>44</v>
      </c>
      <c r="I284" s="27">
        <v>83</v>
      </c>
      <c r="J284" s="27"/>
      <c r="K284" s="27"/>
      <c r="L284" s="27"/>
      <c r="M284" s="32">
        <f t="shared" si="37"/>
        <v>154</v>
      </c>
      <c r="N284" s="32" t="s">
        <v>1331</v>
      </c>
      <c r="O284" s="32"/>
      <c r="P284" s="32">
        <f t="shared" si="38"/>
        <v>153.97219999999999</v>
      </c>
      <c r="Q284" s="32">
        <f t="shared" si="39"/>
        <v>3</v>
      </c>
      <c r="R284" s="32">
        <f t="shared" ca="1" si="40"/>
        <v>0</v>
      </c>
      <c r="S284" s="33" t="s">
        <v>43</v>
      </c>
      <c r="T284" s="34">
        <f t="shared" si="41"/>
        <v>0</v>
      </c>
      <c r="U284" s="34">
        <f t="shared" ca="1" si="42"/>
        <v>0</v>
      </c>
      <c r="V284" s="34">
        <f>-SUMPRODUCT((S$6:S283=S284)*(X$6:X283=X284))</f>
        <v>0</v>
      </c>
      <c r="W284" s="34">
        <f>-SUMPRODUCT((S$6:S283=S284)*(X$6:X283=X284)*(B$6:B283&lt;&gt;"NS"))</f>
        <v>0</v>
      </c>
      <c r="X284" s="35">
        <f t="shared" si="43"/>
        <v>154.08767</v>
      </c>
      <c r="Y284" s="27">
        <v>83</v>
      </c>
      <c r="Z284" s="27">
        <v>44</v>
      </c>
      <c r="AA284" s="29">
        <v>27</v>
      </c>
      <c r="AB284" s="27"/>
      <c r="AC284" s="27"/>
      <c r="AD284" s="27"/>
      <c r="AF284" s="36">
        <v>0</v>
      </c>
      <c r="AG284" s="36">
        <v>0</v>
      </c>
      <c r="AH284" s="36">
        <v>0</v>
      </c>
      <c r="AI284" s="36">
        <v>0</v>
      </c>
      <c r="AJ284" s="37">
        <v>3</v>
      </c>
      <c r="AK284" s="38">
        <v>154.06076999999999</v>
      </c>
      <c r="AL284" s="39">
        <v>83</v>
      </c>
      <c r="AM284" s="32">
        <v>0</v>
      </c>
      <c r="AN284" s="39"/>
      <c r="AO284" s="39"/>
      <c r="AP284" s="39"/>
      <c r="AQ284" s="50"/>
      <c r="AS284" s="1"/>
    </row>
    <row r="285" spans="1:45" s="26" customFormat="1" ht="15">
      <c r="A285" s="61">
        <v>68</v>
      </c>
      <c r="B285" s="61">
        <v>62</v>
      </c>
      <c r="C285" s="61"/>
      <c r="D285" s="61"/>
      <c r="E285" s="61" t="s">
        <v>590</v>
      </c>
      <c r="F285" s="29" t="s">
        <v>61</v>
      </c>
      <c r="G285" s="29">
        <v>80</v>
      </c>
      <c r="H285" s="27">
        <v>73</v>
      </c>
      <c r="I285" s="27"/>
      <c r="J285" s="27"/>
      <c r="K285" s="27"/>
      <c r="L285" s="27"/>
      <c r="M285" s="32">
        <f t="shared" si="37"/>
        <v>153</v>
      </c>
      <c r="N285" s="32" t="s">
        <v>1330</v>
      </c>
      <c r="O285" s="32"/>
      <c r="P285" s="32">
        <f t="shared" si="38"/>
        <v>152.97210000000001</v>
      </c>
      <c r="Q285" s="32">
        <f t="shared" si="39"/>
        <v>2</v>
      </c>
      <c r="R285" s="32">
        <f t="shared" ca="1" si="40"/>
        <v>0</v>
      </c>
      <c r="S285" s="33" t="s">
        <v>43</v>
      </c>
      <c r="T285" s="34">
        <f t="shared" si="41"/>
        <v>0</v>
      </c>
      <c r="U285" s="34">
        <f t="shared" ca="1" si="42"/>
        <v>0</v>
      </c>
      <c r="V285" s="34">
        <f>-SUMPRODUCT((S$6:S284=S285)*(X$6:X284=X285))</f>
        <v>0</v>
      </c>
      <c r="W285" s="34">
        <f>-SUMPRODUCT((S$6:S284=S285)*(X$6:X284=X285)*(B$6:B284&lt;&gt;"NS"))</f>
        <v>0</v>
      </c>
      <c r="X285" s="35">
        <f t="shared" si="43"/>
        <v>153.0873</v>
      </c>
      <c r="Y285" s="29">
        <v>80</v>
      </c>
      <c r="Z285" s="27">
        <v>73</v>
      </c>
      <c r="AA285" s="27"/>
      <c r="AB285" s="27"/>
      <c r="AC285" s="27"/>
      <c r="AD285" s="27"/>
      <c r="AF285" s="36">
        <v>0</v>
      </c>
      <c r="AG285" s="36">
        <v>0</v>
      </c>
      <c r="AH285" s="36">
        <v>0</v>
      </c>
      <c r="AI285" s="36">
        <v>0</v>
      </c>
      <c r="AJ285" s="37">
        <v>2</v>
      </c>
      <c r="AK285" s="38">
        <v>153.06030000000001</v>
      </c>
      <c r="AL285" s="39">
        <v>80</v>
      </c>
      <c r="AM285" s="32">
        <v>233</v>
      </c>
      <c r="AN285" s="39"/>
      <c r="AO285" s="39"/>
      <c r="AP285" s="39"/>
      <c r="AQ285" s="50"/>
      <c r="AS285" s="1"/>
    </row>
    <row r="286" spans="1:45" s="26" customFormat="1" ht="15">
      <c r="A286" s="61">
        <v>69</v>
      </c>
      <c r="B286" s="61">
        <v>63</v>
      </c>
      <c r="C286" s="61"/>
      <c r="D286" s="61"/>
      <c r="E286" s="61" t="s">
        <v>591</v>
      </c>
      <c r="F286" s="29" t="s">
        <v>118</v>
      </c>
      <c r="G286" s="29"/>
      <c r="H286" s="27"/>
      <c r="I286" s="27">
        <v>146</v>
      </c>
      <c r="J286" s="27"/>
      <c r="K286" s="27"/>
      <c r="L286" s="27"/>
      <c r="M286" s="32">
        <f t="shared" si="37"/>
        <v>146</v>
      </c>
      <c r="N286" s="32" t="s">
        <v>1330</v>
      </c>
      <c r="O286" s="32"/>
      <c r="P286" s="32">
        <f t="shared" si="38"/>
        <v>145.97200000000001</v>
      </c>
      <c r="Q286" s="32">
        <f t="shared" si="39"/>
        <v>1</v>
      </c>
      <c r="R286" s="32">
        <f t="shared" ca="1" si="40"/>
        <v>0</v>
      </c>
      <c r="S286" s="33" t="s">
        <v>43</v>
      </c>
      <c r="T286" s="34">
        <f t="shared" si="41"/>
        <v>0</v>
      </c>
      <c r="U286" s="34">
        <f t="shared" ca="1" si="42"/>
        <v>0</v>
      </c>
      <c r="V286" s="34">
        <f>-SUMPRODUCT((S$6:S285=S286)*(X$6:X285=X286))</f>
        <v>0</v>
      </c>
      <c r="W286" s="34">
        <f>-SUMPRODUCT((S$6:S285=S286)*(X$6:X285=X286)*(B$6:B285&lt;&gt;"NS"))</f>
        <v>0</v>
      </c>
      <c r="X286" s="35">
        <f t="shared" si="43"/>
        <v>146.14599999999999</v>
      </c>
      <c r="Y286" s="27">
        <v>146</v>
      </c>
      <c r="Z286" s="29"/>
      <c r="AA286" s="27"/>
      <c r="AB286" s="27"/>
      <c r="AC286" s="27"/>
      <c r="AD286" s="27"/>
      <c r="AF286" s="36">
        <v>0</v>
      </c>
      <c r="AG286" s="36">
        <v>0</v>
      </c>
      <c r="AH286" s="36">
        <v>0</v>
      </c>
      <c r="AI286" s="36">
        <v>0</v>
      </c>
      <c r="AJ286" s="37">
        <v>1</v>
      </c>
      <c r="AK286" s="38">
        <v>146.1189</v>
      </c>
      <c r="AL286" s="39">
        <v>146</v>
      </c>
      <c r="AM286" s="32">
        <v>292</v>
      </c>
      <c r="AN286" s="39"/>
      <c r="AO286" s="39"/>
      <c r="AP286" s="39"/>
      <c r="AQ286" s="50"/>
      <c r="AS286" s="1"/>
    </row>
    <row r="287" spans="1:45" s="26" customFormat="1" ht="15">
      <c r="A287" s="61">
        <v>70</v>
      </c>
      <c r="B287" s="61" t="s">
        <v>111</v>
      </c>
      <c r="C287" s="61"/>
      <c r="D287" s="61"/>
      <c r="E287" s="61" t="s">
        <v>592</v>
      </c>
      <c r="F287" s="29" t="s">
        <v>201</v>
      </c>
      <c r="G287" s="29"/>
      <c r="H287" s="27">
        <v>144</v>
      </c>
      <c r="I287" s="27"/>
      <c r="J287" s="27"/>
      <c r="K287" s="27"/>
      <c r="L287" s="27"/>
      <c r="M287" s="32">
        <f t="shared" si="37"/>
        <v>144</v>
      </c>
      <c r="N287" s="32" t="s">
        <v>1331</v>
      </c>
      <c r="O287" s="32"/>
      <c r="P287" s="32">
        <f t="shared" si="38"/>
        <v>143.97190000000001</v>
      </c>
      <c r="Q287" s="32">
        <f t="shared" si="39"/>
        <v>1</v>
      </c>
      <c r="R287" s="32">
        <f t="shared" ca="1" si="40"/>
        <v>0</v>
      </c>
      <c r="S287" s="33" t="s">
        <v>43</v>
      </c>
      <c r="T287" s="34">
        <f t="shared" si="41"/>
        <v>0</v>
      </c>
      <c r="U287" s="34">
        <f t="shared" ca="1" si="42"/>
        <v>0</v>
      </c>
      <c r="V287" s="34">
        <f>-SUMPRODUCT((S$6:S286=S287)*(X$6:X286=X287))</f>
        <v>0</v>
      </c>
      <c r="W287" s="34">
        <f>-SUMPRODUCT((S$6:S286=S287)*(X$6:X286=X287)*(B$6:B286&lt;&gt;"NS"))</f>
        <v>0</v>
      </c>
      <c r="X287" s="35">
        <f t="shared" si="43"/>
        <v>144.14400000000001</v>
      </c>
      <c r="Y287" s="27">
        <v>144</v>
      </c>
      <c r="Z287" s="29"/>
      <c r="AA287" s="27"/>
      <c r="AB287" s="27"/>
      <c r="AC287" s="27"/>
      <c r="AD287" s="27"/>
      <c r="AF287" s="36">
        <v>0</v>
      </c>
      <c r="AG287" s="36">
        <v>0</v>
      </c>
      <c r="AH287" s="36">
        <v>0</v>
      </c>
      <c r="AI287" s="36">
        <v>0</v>
      </c>
      <c r="AJ287" s="37">
        <v>1</v>
      </c>
      <c r="AK287" s="38">
        <v>144.11680000000001</v>
      </c>
      <c r="AL287" s="39">
        <v>144</v>
      </c>
      <c r="AM287" s="32">
        <v>0</v>
      </c>
      <c r="AN287" s="39"/>
      <c r="AO287" s="39"/>
      <c r="AP287" s="39"/>
      <c r="AQ287" s="50"/>
      <c r="AS287" s="1"/>
    </row>
    <row r="288" spans="1:45" s="26" customFormat="1" ht="15">
      <c r="A288" s="61">
        <v>71</v>
      </c>
      <c r="B288" s="61">
        <v>64</v>
      </c>
      <c r="C288" s="61"/>
      <c r="D288" s="61"/>
      <c r="E288" s="61" t="s">
        <v>593</v>
      </c>
      <c r="F288" s="29" t="s">
        <v>485</v>
      </c>
      <c r="G288" s="29">
        <v>124</v>
      </c>
      <c r="H288" s="27"/>
      <c r="I288" s="27"/>
      <c r="J288" s="27"/>
      <c r="K288" s="27"/>
      <c r="L288" s="27"/>
      <c r="M288" s="32">
        <f t="shared" si="37"/>
        <v>124</v>
      </c>
      <c r="N288" s="32" t="s">
        <v>1330</v>
      </c>
      <c r="O288" s="32"/>
      <c r="P288" s="32">
        <f t="shared" si="38"/>
        <v>123.9718</v>
      </c>
      <c r="Q288" s="32">
        <f t="shared" si="39"/>
        <v>1</v>
      </c>
      <c r="R288" s="32">
        <f t="shared" ca="1" si="40"/>
        <v>0</v>
      </c>
      <c r="S288" s="33" t="s">
        <v>43</v>
      </c>
      <c r="T288" s="34">
        <f t="shared" si="41"/>
        <v>0</v>
      </c>
      <c r="U288" s="34">
        <f t="shared" ca="1" si="42"/>
        <v>0</v>
      </c>
      <c r="V288" s="34">
        <f>-SUMPRODUCT((S$6:S287=S288)*(X$6:X287=X288))</f>
        <v>0</v>
      </c>
      <c r="W288" s="34">
        <f>-SUMPRODUCT((S$6:S287=S288)*(X$6:X287=X288)*(B$6:B287&lt;&gt;"NS"))</f>
        <v>0</v>
      </c>
      <c r="X288" s="35">
        <f t="shared" si="43"/>
        <v>124.124</v>
      </c>
      <c r="Y288" s="29">
        <v>124</v>
      </c>
      <c r="Z288" s="27"/>
      <c r="AA288" s="27"/>
      <c r="AB288" s="27"/>
      <c r="AC288" s="27"/>
      <c r="AD288" s="27"/>
      <c r="AF288" s="36">
        <v>0</v>
      </c>
      <c r="AG288" s="36">
        <v>0</v>
      </c>
      <c r="AH288" s="36">
        <v>0</v>
      </c>
      <c r="AI288" s="36">
        <v>0</v>
      </c>
      <c r="AJ288" s="37">
        <v>1</v>
      </c>
      <c r="AK288" s="38">
        <v>124.0966</v>
      </c>
      <c r="AL288" s="39">
        <v>124</v>
      </c>
      <c r="AM288" s="32">
        <v>248</v>
      </c>
      <c r="AN288" s="39"/>
      <c r="AO288" s="39"/>
      <c r="AP288" s="39"/>
      <c r="AQ288" s="50"/>
      <c r="AS288" s="1"/>
    </row>
    <row r="289" spans="1:45" s="26" customFormat="1" ht="15">
      <c r="A289" s="61">
        <v>72</v>
      </c>
      <c r="B289" s="61">
        <v>65</v>
      </c>
      <c r="C289" s="61"/>
      <c r="D289" s="61"/>
      <c r="E289" s="61" t="s">
        <v>594</v>
      </c>
      <c r="F289" s="29" t="s">
        <v>84</v>
      </c>
      <c r="G289" s="29">
        <v>111</v>
      </c>
      <c r="H289" s="27"/>
      <c r="I289" s="27"/>
      <c r="J289" s="27"/>
      <c r="K289" s="27"/>
      <c r="L289" s="27"/>
      <c r="M289" s="32">
        <f t="shared" si="37"/>
        <v>111</v>
      </c>
      <c r="N289" s="32" t="s">
        <v>1330</v>
      </c>
      <c r="O289" s="32"/>
      <c r="P289" s="32">
        <f t="shared" si="38"/>
        <v>110.9717</v>
      </c>
      <c r="Q289" s="32">
        <f t="shared" si="39"/>
        <v>1</v>
      </c>
      <c r="R289" s="32">
        <f t="shared" ca="1" si="40"/>
        <v>0</v>
      </c>
      <c r="S289" s="33" t="s">
        <v>43</v>
      </c>
      <c r="T289" s="34">
        <f t="shared" si="41"/>
        <v>0</v>
      </c>
      <c r="U289" s="34">
        <f t="shared" ca="1" si="42"/>
        <v>0</v>
      </c>
      <c r="V289" s="34">
        <f>-SUMPRODUCT((S$6:S288=S289)*(X$6:X288=X289))</f>
        <v>0</v>
      </c>
      <c r="W289" s="34">
        <f>-SUMPRODUCT((S$6:S288=S289)*(X$6:X288=X289)*(B$6:B288&lt;&gt;"NS"))</f>
        <v>0</v>
      </c>
      <c r="X289" s="35">
        <f t="shared" si="43"/>
        <v>111.111</v>
      </c>
      <c r="Y289" s="29">
        <v>111</v>
      </c>
      <c r="Z289" s="27"/>
      <c r="AA289" s="27"/>
      <c r="AB289" s="27"/>
      <c r="AC289" s="27"/>
      <c r="AD289" s="27"/>
      <c r="AF289" s="36">
        <v>0</v>
      </c>
      <c r="AG289" s="36">
        <v>0</v>
      </c>
      <c r="AH289" s="36">
        <v>0</v>
      </c>
      <c r="AI289" s="36">
        <v>0</v>
      </c>
      <c r="AJ289" s="37">
        <v>1</v>
      </c>
      <c r="AK289" s="38">
        <v>111.0835</v>
      </c>
      <c r="AL289" s="39">
        <v>111</v>
      </c>
      <c r="AM289" s="32">
        <v>222</v>
      </c>
      <c r="AN289" s="39"/>
      <c r="AO289" s="39"/>
      <c r="AP289" s="39"/>
      <c r="AQ289" s="50"/>
      <c r="AS289" s="1"/>
    </row>
    <row r="290" spans="1:45" s="26" customFormat="1" ht="15">
      <c r="A290" s="61">
        <v>73</v>
      </c>
      <c r="B290" s="61">
        <v>66</v>
      </c>
      <c r="C290" s="61"/>
      <c r="D290" s="61"/>
      <c r="E290" s="61" t="s">
        <v>595</v>
      </c>
      <c r="F290" s="29" t="s">
        <v>162</v>
      </c>
      <c r="G290" s="29">
        <v>110</v>
      </c>
      <c r="H290" s="27"/>
      <c r="I290" s="27"/>
      <c r="J290" s="27"/>
      <c r="K290" s="27"/>
      <c r="L290" s="27"/>
      <c r="M290" s="32">
        <f t="shared" si="37"/>
        <v>110</v>
      </c>
      <c r="N290" s="32" t="s">
        <v>1330</v>
      </c>
      <c r="O290" s="32"/>
      <c r="P290" s="32">
        <f t="shared" si="38"/>
        <v>109.9716</v>
      </c>
      <c r="Q290" s="32">
        <f t="shared" si="39"/>
        <v>1</v>
      </c>
      <c r="R290" s="32">
        <f t="shared" ca="1" si="40"/>
        <v>0</v>
      </c>
      <c r="S290" s="33" t="s">
        <v>43</v>
      </c>
      <c r="T290" s="34">
        <f t="shared" si="41"/>
        <v>0</v>
      </c>
      <c r="U290" s="34">
        <f t="shared" ca="1" si="42"/>
        <v>0</v>
      </c>
      <c r="V290" s="34">
        <f>-SUMPRODUCT((S$6:S289=S290)*(X$6:X289=X290))</f>
        <v>0</v>
      </c>
      <c r="W290" s="34">
        <f>-SUMPRODUCT((S$6:S289=S290)*(X$6:X289=X290)*(B$6:B289&lt;&gt;"NS"))</f>
        <v>0</v>
      </c>
      <c r="X290" s="35">
        <f t="shared" si="43"/>
        <v>110.11</v>
      </c>
      <c r="Y290" s="29">
        <v>110</v>
      </c>
      <c r="Z290" s="27"/>
      <c r="AA290" s="27"/>
      <c r="AB290" s="27"/>
      <c r="AC290" s="27"/>
      <c r="AD290" s="27"/>
      <c r="AF290" s="36">
        <v>0</v>
      </c>
      <c r="AG290" s="36">
        <v>0</v>
      </c>
      <c r="AH290" s="36">
        <v>0</v>
      </c>
      <c r="AI290" s="36">
        <v>0</v>
      </c>
      <c r="AJ290" s="37">
        <v>1</v>
      </c>
      <c r="AK290" s="38">
        <v>110.08239999999999</v>
      </c>
      <c r="AL290" s="39">
        <v>110</v>
      </c>
      <c r="AM290" s="32">
        <v>220</v>
      </c>
      <c r="AN290" s="39"/>
      <c r="AO290" s="39"/>
      <c r="AP290" s="39"/>
      <c r="AQ290" s="50"/>
      <c r="AS290" s="1"/>
    </row>
    <row r="291" spans="1:45" s="26" customFormat="1" ht="15">
      <c r="A291" s="61">
        <v>74</v>
      </c>
      <c r="B291" s="61">
        <v>67</v>
      </c>
      <c r="C291" s="61"/>
      <c r="D291" s="61"/>
      <c r="E291" s="61" t="s">
        <v>596</v>
      </c>
      <c r="F291" s="29" t="s">
        <v>103</v>
      </c>
      <c r="G291" s="29">
        <v>86</v>
      </c>
      <c r="H291" s="27"/>
      <c r="I291" s="27"/>
      <c r="J291" s="27"/>
      <c r="K291" s="27"/>
      <c r="L291" s="27"/>
      <c r="M291" s="32">
        <f t="shared" si="37"/>
        <v>86</v>
      </c>
      <c r="N291" s="32" t="s">
        <v>1330</v>
      </c>
      <c r="O291" s="32"/>
      <c r="P291" s="32">
        <f t="shared" si="38"/>
        <v>85.971500000000006</v>
      </c>
      <c r="Q291" s="32">
        <f t="shared" si="39"/>
        <v>1</v>
      </c>
      <c r="R291" s="32">
        <f t="shared" ca="1" si="40"/>
        <v>0</v>
      </c>
      <c r="S291" s="33" t="s">
        <v>43</v>
      </c>
      <c r="T291" s="34">
        <f t="shared" si="41"/>
        <v>0</v>
      </c>
      <c r="U291" s="34">
        <f t="shared" ca="1" si="42"/>
        <v>0</v>
      </c>
      <c r="V291" s="34">
        <f>-SUMPRODUCT((S$6:S290=S291)*(X$6:X290=X291))</f>
        <v>0</v>
      </c>
      <c r="W291" s="34">
        <f>-SUMPRODUCT((S$6:S290=S291)*(X$6:X290=X291)*(B$6:B290&lt;&gt;"NS"))</f>
        <v>0</v>
      </c>
      <c r="X291" s="35">
        <f t="shared" si="43"/>
        <v>86.085999999999999</v>
      </c>
      <c r="Y291" s="29">
        <v>86</v>
      </c>
      <c r="Z291" s="27"/>
      <c r="AA291" s="27"/>
      <c r="AB291" s="27"/>
      <c r="AC291" s="27"/>
      <c r="AD291" s="27"/>
      <c r="AF291" s="36">
        <v>0</v>
      </c>
      <c r="AG291" s="36">
        <v>0</v>
      </c>
      <c r="AH291" s="36">
        <v>0</v>
      </c>
      <c r="AI291" s="36">
        <v>0</v>
      </c>
      <c r="AJ291" s="37">
        <v>1</v>
      </c>
      <c r="AK291" s="38">
        <v>86.058199999999999</v>
      </c>
      <c r="AL291" s="39">
        <v>86</v>
      </c>
      <c r="AM291" s="32">
        <v>172</v>
      </c>
      <c r="AN291" s="39"/>
      <c r="AO291" s="39"/>
      <c r="AP291" s="39"/>
      <c r="AQ291" s="50"/>
      <c r="AS291" s="1"/>
    </row>
    <row r="292" spans="1:45" s="26" customFormat="1" ht="15">
      <c r="A292" s="61">
        <v>75</v>
      </c>
      <c r="B292" s="61">
        <v>68</v>
      </c>
      <c r="C292" s="61"/>
      <c r="D292" s="61"/>
      <c r="E292" s="61" t="s">
        <v>597</v>
      </c>
      <c r="F292" s="29" t="s">
        <v>118</v>
      </c>
      <c r="G292" s="29"/>
      <c r="H292" s="27">
        <v>70</v>
      </c>
      <c r="I292" s="27"/>
      <c r="J292" s="27"/>
      <c r="K292" s="27"/>
      <c r="L292" s="27"/>
      <c r="M292" s="32">
        <f t="shared" si="37"/>
        <v>70</v>
      </c>
      <c r="N292" s="32" t="s">
        <v>1330</v>
      </c>
      <c r="O292" s="32"/>
      <c r="P292" s="32">
        <f t="shared" si="38"/>
        <v>69.971400000000003</v>
      </c>
      <c r="Q292" s="32">
        <f t="shared" si="39"/>
        <v>1</v>
      </c>
      <c r="R292" s="32">
        <f t="shared" ca="1" si="40"/>
        <v>0</v>
      </c>
      <c r="S292" s="33" t="s">
        <v>43</v>
      </c>
      <c r="T292" s="34">
        <f t="shared" si="41"/>
        <v>0</v>
      </c>
      <c r="U292" s="34">
        <f t="shared" ca="1" si="42"/>
        <v>0</v>
      </c>
      <c r="V292" s="34">
        <f>-SUMPRODUCT((S$6:S291=S292)*(X$6:X291=X292))</f>
        <v>0</v>
      </c>
      <c r="W292" s="34">
        <f>-SUMPRODUCT((S$6:S291=S292)*(X$6:X291=X292)*(B$6:B291&lt;&gt;"NS"))</f>
        <v>0</v>
      </c>
      <c r="X292" s="35">
        <f t="shared" si="43"/>
        <v>70.069999999999993</v>
      </c>
      <c r="Y292" s="27">
        <v>70</v>
      </c>
      <c r="Z292" s="29"/>
      <c r="AA292" s="27"/>
      <c r="AB292" s="27"/>
      <c r="AC292" s="27"/>
      <c r="AD292" s="27"/>
      <c r="AF292" s="36">
        <v>0</v>
      </c>
      <c r="AG292" s="36">
        <v>0</v>
      </c>
      <c r="AH292" s="36">
        <v>0</v>
      </c>
      <c r="AI292" s="36">
        <v>0</v>
      </c>
      <c r="AJ292" s="37">
        <v>1</v>
      </c>
      <c r="AK292" s="38">
        <v>70.041999999999987</v>
      </c>
      <c r="AL292" s="39">
        <v>70</v>
      </c>
      <c r="AM292" s="32">
        <v>140</v>
      </c>
      <c r="AN292" s="39"/>
      <c r="AO292" s="39"/>
      <c r="AP292" s="39"/>
      <c r="AQ292" s="50"/>
      <c r="AS292" s="1"/>
    </row>
    <row r="293" spans="1:45" s="26" customFormat="1" ht="15">
      <c r="A293" s="61">
        <v>76</v>
      </c>
      <c r="B293" s="61" t="s">
        <v>111</v>
      </c>
      <c r="C293" s="61"/>
      <c r="D293" s="61"/>
      <c r="E293" s="61" t="s">
        <v>598</v>
      </c>
      <c r="F293" s="29" t="s">
        <v>201</v>
      </c>
      <c r="G293" s="29">
        <v>65</v>
      </c>
      <c r="H293" s="27"/>
      <c r="I293" s="27"/>
      <c r="J293" s="27"/>
      <c r="K293" s="27"/>
      <c r="L293" s="27"/>
      <c r="M293" s="32">
        <f t="shared" si="37"/>
        <v>65</v>
      </c>
      <c r="N293" s="32" t="s">
        <v>1331</v>
      </c>
      <c r="O293" s="32"/>
      <c r="P293" s="32">
        <f t="shared" si="38"/>
        <v>64.971299999999999</v>
      </c>
      <c r="Q293" s="32">
        <f t="shared" si="39"/>
        <v>1</v>
      </c>
      <c r="R293" s="32">
        <f t="shared" ca="1" si="40"/>
        <v>0</v>
      </c>
      <c r="S293" s="33" t="s">
        <v>43</v>
      </c>
      <c r="T293" s="34">
        <f t="shared" si="41"/>
        <v>0</v>
      </c>
      <c r="U293" s="34">
        <f t="shared" ca="1" si="42"/>
        <v>0</v>
      </c>
      <c r="V293" s="34">
        <f>-SUMPRODUCT((S$6:S292=S293)*(X$6:X292=X293))</f>
        <v>0</v>
      </c>
      <c r="W293" s="34">
        <f>-SUMPRODUCT((S$6:S292=S293)*(X$6:X292=X293)*(B$6:B292&lt;&gt;"NS"))</f>
        <v>0</v>
      </c>
      <c r="X293" s="35">
        <f t="shared" si="43"/>
        <v>65.064999999999998</v>
      </c>
      <c r="Y293" s="29">
        <v>65</v>
      </c>
      <c r="Z293" s="27"/>
      <c r="AA293" s="27"/>
      <c r="AB293" s="27"/>
      <c r="AC293" s="27"/>
      <c r="AD293" s="27"/>
      <c r="AF293" s="36">
        <v>0</v>
      </c>
      <c r="AG293" s="36">
        <v>0</v>
      </c>
      <c r="AH293" s="36">
        <v>0</v>
      </c>
      <c r="AI293" s="36">
        <v>0</v>
      </c>
      <c r="AJ293" s="37">
        <v>1</v>
      </c>
      <c r="AK293" s="38">
        <v>65.036900000000003</v>
      </c>
      <c r="AL293" s="39">
        <v>65</v>
      </c>
      <c r="AM293" s="32">
        <v>0</v>
      </c>
      <c r="AN293" s="39"/>
      <c r="AO293" s="39"/>
      <c r="AP293" s="39"/>
      <c r="AQ293" s="50"/>
      <c r="AS293" s="1"/>
    </row>
    <row r="294" spans="1:45" ht="5.0999999999999996" customHeight="1">
      <c r="A294" s="61"/>
      <c r="B294" s="1"/>
      <c r="C294" s="1"/>
      <c r="D294" s="1"/>
      <c r="E294" s="61"/>
      <c r="F294" s="29"/>
      <c r="G294" s="29"/>
      <c r="H294" s="27"/>
      <c r="I294" s="27"/>
      <c r="J294" s="27"/>
      <c r="K294" s="27"/>
      <c r="L294" s="27"/>
      <c r="M294" s="32"/>
      <c r="N294" s="27"/>
      <c r="O294" s="27"/>
      <c r="P294" s="32"/>
      <c r="Q294" s="27"/>
      <c r="R294" s="27"/>
      <c r="T294" s="62"/>
      <c r="U294" s="62"/>
      <c r="V294" s="62"/>
      <c r="W294" s="62"/>
      <c r="X294" s="34"/>
      <c r="Y294" s="27"/>
      <c r="Z294" s="27"/>
      <c r="AA294" s="27"/>
      <c r="AB294" s="27"/>
      <c r="AC294" s="27"/>
      <c r="AD294" s="27"/>
      <c r="AJ294" s="63"/>
      <c r="AK294" s="63"/>
      <c r="AL294" s="26"/>
      <c r="AM294" s="26"/>
      <c r="AN294" s="39"/>
      <c r="AO294" s="39"/>
      <c r="AP294" s="39"/>
      <c r="AQ294" s="30"/>
      <c r="AR294" s="26"/>
      <c r="AS294" s="1"/>
    </row>
    <row r="295" spans="1:45" ht="15">
      <c r="A295" s="60"/>
      <c r="B295" s="60"/>
      <c r="C295" s="60"/>
      <c r="D295" s="60"/>
      <c r="F295" s="27"/>
      <c r="G295" s="27"/>
      <c r="H295" s="27"/>
      <c r="I295" s="27"/>
      <c r="J295" s="27"/>
      <c r="K295" s="27"/>
      <c r="L295" s="27"/>
      <c r="M295" s="32"/>
      <c r="N295" s="27"/>
      <c r="O295" s="27"/>
      <c r="P295" s="32"/>
      <c r="Q295" s="27"/>
      <c r="R295" s="27"/>
      <c r="T295" s="62"/>
      <c r="U295" s="62"/>
      <c r="V295" s="62"/>
      <c r="W295" s="62"/>
      <c r="X295" s="34"/>
      <c r="Y295" s="29"/>
      <c r="Z295" s="27"/>
      <c r="AA295" s="27"/>
      <c r="AB295" s="27"/>
      <c r="AC295" s="27"/>
      <c r="AD295" s="27"/>
      <c r="AJ295" s="63"/>
      <c r="AK295" s="63"/>
      <c r="AL295" s="26"/>
      <c r="AM295" s="26"/>
      <c r="AN295" s="39"/>
      <c r="AO295" s="39"/>
      <c r="AP295" s="39"/>
      <c r="AQ295" s="30"/>
      <c r="AR295" s="26"/>
      <c r="AS295" s="1"/>
    </row>
    <row r="296" spans="1:45" ht="15">
      <c r="A296" s="60"/>
      <c r="B296" s="60"/>
      <c r="C296" s="60"/>
      <c r="D296" s="60"/>
      <c r="E296" s="60" t="s">
        <v>79</v>
      </c>
      <c r="F296" s="27"/>
      <c r="G296" s="27"/>
      <c r="H296" s="27"/>
      <c r="I296" s="27"/>
      <c r="J296" s="27"/>
      <c r="K296" s="27"/>
      <c r="L296" s="27"/>
      <c r="M296" s="32"/>
      <c r="N296" s="27"/>
      <c r="O296" s="27"/>
      <c r="P296" s="32"/>
      <c r="Q296" s="27"/>
      <c r="R296" s="27"/>
      <c r="S296" s="52" t="str">
        <f>E296</f>
        <v>M55</v>
      </c>
      <c r="T296" s="62"/>
      <c r="U296" s="62"/>
      <c r="V296" s="62"/>
      <c r="W296" s="62"/>
      <c r="X296" s="34"/>
      <c r="Y296" s="29"/>
      <c r="Z296" s="27"/>
      <c r="AA296" s="27"/>
      <c r="AB296" s="27"/>
      <c r="AC296" s="27"/>
      <c r="AD296" s="27"/>
      <c r="AJ296" s="63"/>
      <c r="AK296" s="63"/>
      <c r="AL296" s="26"/>
      <c r="AM296" s="26"/>
      <c r="AN296" s="39">
        <v>810</v>
      </c>
      <c r="AO296" s="39">
        <v>771</v>
      </c>
      <c r="AP296" s="39">
        <v>755</v>
      </c>
      <c r="AQ296" s="30"/>
      <c r="AR296" s="26"/>
      <c r="AS296" s="1"/>
    </row>
    <row r="297" spans="1:45" ht="15">
      <c r="A297" s="61">
        <v>1</v>
      </c>
      <c r="B297" s="61">
        <v>1</v>
      </c>
      <c r="C297" s="61"/>
      <c r="D297" s="61"/>
      <c r="E297" s="61" t="s">
        <v>91</v>
      </c>
      <c r="F297" s="29" t="s">
        <v>93</v>
      </c>
      <c r="G297" s="29"/>
      <c r="H297" s="27">
        <v>259</v>
      </c>
      <c r="I297" s="27">
        <v>278</v>
      </c>
      <c r="J297" s="27">
        <v>273</v>
      </c>
      <c r="K297" s="27">
        <v>274</v>
      </c>
      <c r="L297" s="27"/>
      <c r="M297" s="32">
        <f t="shared" ref="M297:M360" si="44">IFERROR(LARGE(G297:L297,1),0)+IF($F$5&gt;=2,IFERROR(LARGE(G297:L297,2),0),0)+IF($F$5&gt;=3,IFERROR(LARGE(G297:L297,3),0),0)+IF($F$5&gt;=4,IFERROR(LARGE(G297:L297,4),0),0)+IF($F$5&gt;=5,IFERROR(LARGE(G297:L297,5),0),0)+IF($F$5&gt;=6,IFERROR(LARGE(G297:L297,6),0),0)</f>
        <v>825</v>
      </c>
      <c r="N297" s="32" t="s">
        <v>1330</v>
      </c>
      <c r="O297" s="32" t="s">
        <v>599</v>
      </c>
      <c r="P297" s="32">
        <f t="shared" ref="P297:P360" si="45">M297-(ROW(M297)-ROW(M$6))/10000</f>
        <v>824.97090000000003</v>
      </c>
      <c r="Q297" s="32">
        <f t="shared" ref="Q297:Q360" si="46">COUNT(G297:L297)</f>
        <v>4</v>
      </c>
      <c r="R297" s="32">
        <f t="shared" ref="R297:R360" ca="1" si="47">IF(AND(Q297=1,OFFSET(F297,0,R$3)&gt;0),"Y",0)</f>
        <v>0</v>
      </c>
      <c r="S297" s="33" t="s">
        <v>79</v>
      </c>
      <c r="T297" s="34">
        <f t="shared" ref="T297:T360" si="48">1-(S297=S296)</f>
        <v>0</v>
      </c>
      <c r="U297" s="34">
        <f t="shared" ref="U297:U360" ca="1" si="49">OFFSET(F297,0,$R$3)</f>
        <v>274</v>
      </c>
      <c r="V297" s="34">
        <f>-SUMPRODUCT((S$6:S296=S297)*(X$6:X296=X297))</f>
        <v>0</v>
      </c>
      <c r="W297" s="34">
        <f>-SUMPRODUCT((S$6:S296=S297)*(X$6:X296=X297)*(B$6:B296&lt;&gt;"NS"))</f>
        <v>0</v>
      </c>
      <c r="X297" s="35">
        <f t="shared" ref="X297:X360" si="50">M297+SUMPRODUCT(Y$4:AD$4,Y297:AD297)</f>
        <v>825.30813000000001</v>
      </c>
      <c r="Y297" s="27">
        <v>278</v>
      </c>
      <c r="Z297" s="27">
        <v>274</v>
      </c>
      <c r="AA297" s="27">
        <v>273</v>
      </c>
      <c r="AB297" s="27">
        <v>259</v>
      </c>
      <c r="AC297" s="29"/>
      <c r="AD297" s="27"/>
      <c r="AF297" s="36">
        <v>0</v>
      </c>
      <c r="AG297" s="36">
        <v>0</v>
      </c>
      <c r="AH297" s="36">
        <v>0</v>
      </c>
      <c r="AI297" s="36">
        <v>0</v>
      </c>
      <c r="AJ297" s="37">
        <v>3</v>
      </c>
      <c r="AK297" s="38">
        <v>810.27939000000003</v>
      </c>
      <c r="AL297" s="39">
        <v>278</v>
      </c>
      <c r="AM297" s="32">
        <v>829</v>
      </c>
      <c r="AN297" s="39" t="s">
        <v>599</v>
      </c>
      <c r="AO297" s="39"/>
      <c r="AP297" s="39"/>
      <c r="AQ297" s="30"/>
      <c r="AR297" s="26"/>
      <c r="AS297" s="1"/>
    </row>
    <row r="298" spans="1:45" ht="15">
      <c r="A298" s="61">
        <v>2</v>
      </c>
      <c r="B298" s="61">
        <v>2</v>
      </c>
      <c r="C298" s="61"/>
      <c r="D298" s="61"/>
      <c r="E298" s="61" t="s">
        <v>78</v>
      </c>
      <c r="F298" s="29" t="s">
        <v>50</v>
      </c>
      <c r="G298" s="29">
        <v>265</v>
      </c>
      <c r="H298" s="27">
        <v>256</v>
      </c>
      <c r="I298" s="27"/>
      <c r="J298" s="27">
        <v>250</v>
      </c>
      <c r="K298" s="27">
        <v>278</v>
      </c>
      <c r="L298" s="27"/>
      <c r="M298" s="32">
        <f t="shared" si="44"/>
        <v>799</v>
      </c>
      <c r="N298" s="32" t="s">
        <v>1330</v>
      </c>
      <c r="O298" s="32" t="s">
        <v>600</v>
      </c>
      <c r="P298" s="32">
        <f t="shared" si="45"/>
        <v>798.97080000000005</v>
      </c>
      <c r="Q298" s="32">
        <f t="shared" si="46"/>
        <v>4</v>
      </c>
      <c r="R298" s="32">
        <f t="shared" ca="1" si="47"/>
        <v>0</v>
      </c>
      <c r="S298" s="33" t="s">
        <v>79</v>
      </c>
      <c r="T298" s="34">
        <f t="shared" si="48"/>
        <v>0</v>
      </c>
      <c r="U298" s="34">
        <f t="shared" ca="1" si="49"/>
        <v>278</v>
      </c>
      <c r="V298" s="34">
        <f>-SUMPRODUCT((S$6:S297=S298)*(X$6:X297=X298))</f>
        <v>0</v>
      </c>
      <c r="W298" s="34">
        <f>-SUMPRODUCT((S$6:S297=S298)*(X$6:X297=X298)*(B$6:B297&lt;&gt;"NS"))</f>
        <v>0</v>
      </c>
      <c r="X298" s="35">
        <f t="shared" si="50"/>
        <v>799.30705999999998</v>
      </c>
      <c r="Y298" s="27">
        <v>278</v>
      </c>
      <c r="Z298" s="29">
        <v>265</v>
      </c>
      <c r="AA298" s="27">
        <v>256</v>
      </c>
      <c r="AB298" s="27">
        <v>250</v>
      </c>
      <c r="AC298" s="27"/>
      <c r="AD298" s="27"/>
      <c r="AF298" s="36">
        <v>0</v>
      </c>
      <c r="AG298" s="36">
        <v>0</v>
      </c>
      <c r="AH298" s="36">
        <v>0</v>
      </c>
      <c r="AI298" s="36">
        <v>0</v>
      </c>
      <c r="AJ298" s="37">
        <v>3</v>
      </c>
      <c r="AK298" s="38">
        <v>771.26450000000011</v>
      </c>
      <c r="AL298" s="39">
        <v>265</v>
      </c>
      <c r="AM298" s="32">
        <v>786</v>
      </c>
      <c r="AN298" s="39"/>
      <c r="AO298" s="39" t="s">
        <v>600</v>
      </c>
      <c r="AP298" s="39" t="s">
        <v>601</v>
      </c>
      <c r="AQ298" s="30"/>
      <c r="AR298" s="26"/>
      <c r="AS298" s="1"/>
    </row>
    <row r="299" spans="1:45" ht="15">
      <c r="A299" s="61">
        <v>3</v>
      </c>
      <c r="B299" s="61">
        <v>3</v>
      </c>
      <c r="C299" s="61"/>
      <c r="D299" s="61"/>
      <c r="E299" s="61" t="s">
        <v>99</v>
      </c>
      <c r="F299" s="29" t="s">
        <v>88</v>
      </c>
      <c r="G299" s="29">
        <v>237</v>
      </c>
      <c r="H299" s="27"/>
      <c r="I299" s="27">
        <v>259</v>
      </c>
      <c r="J299" s="27">
        <v>259</v>
      </c>
      <c r="K299" s="27">
        <v>269</v>
      </c>
      <c r="L299" s="27"/>
      <c r="M299" s="32">
        <f t="shared" si="44"/>
        <v>787</v>
      </c>
      <c r="N299" s="32" t="s">
        <v>1330</v>
      </c>
      <c r="O299" s="32" t="s">
        <v>601</v>
      </c>
      <c r="P299" s="32">
        <f t="shared" si="45"/>
        <v>786.97069999999997</v>
      </c>
      <c r="Q299" s="32">
        <f t="shared" si="46"/>
        <v>4</v>
      </c>
      <c r="R299" s="32">
        <f t="shared" ca="1" si="47"/>
        <v>0</v>
      </c>
      <c r="S299" s="33" t="s">
        <v>79</v>
      </c>
      <c r="T299" s="34">
        <f t="shared" si="48"/>
        <v>0</v>
      </c>
      <c r="U299" s="34">
        <f t="shared" ca="1" si="49"/>
        <v>269</v>
      </c>
      <c r="V299" s="34">
        <f>-SUMPRODUCT((S$6:S298=S299)*(X$6:X298=X299))</f>
        <v>0</v>
      </c>
      <c r="W299" s="34">
        <f>-SUMPRODUCT((S$6:S298=S299)*(X$6:X298=X299)*(B$6:B298&lt;&gt;"NS"))</f>
        <v>0</v>
      </c>
      <c r="X299" s="35">
        <f t="shared" si="50"/>
        <v>787.29749000000004</v>
      </c>
      <c r="Y299" s="27">
        <v>269</v>
      </c>
      <c r="Z299" s="27">
        <v>259</v>
      </c>
      <c r="AA299" s="27">
        <v>259</v>
      </c>
      <c r="AB299" s="29">
        <v>237</v>
      </c>
      <c r="AC299" s="27"/>
      <c r="AD299" s="27"/>
      <c r="AF299" s="36">
        <v>0</v>
      </c>
      <c r="AG299" s="36">
        <v>0</v>
      </c>
      <c r="AH299" s="36">
        <v>0</v>
      </c>
      <c r="AI299" s="36">
        <v>0</v>
      </c>
      <c r="AJ299" s="37">
        <v>3</v>
      </c>
      <c r="AK299" s="38">
        <v>755.25857000000008</v>
      </c>
      <c r="AL299" s="39">
        <v>259</v>
      </c>
      <c r="AM299" s="32">
        <v>777</v>
      </c>
      <c r="AN299" s="39"/>
      <c r="AO299" s="39" t="s">
        <v>600</v>
      </c>
      <c r="AP299" s="39" t="s">
        <v>601</v>
      </c>
      <c r="AQ299" s="30"/>
      <c r="AR299" s="26"/>
      <c r="AS299" s="1"/>
    </row>
    <row r="300" spans="1:45" ht="15">
      <c r="A300" s="61">
        <v>4</v>
      </c>
      <c r="B300" s="61">
        <v>4</v>
      </c>
      <c r="C300" s="61"/>
      <c r="D300" s="61"/>
      <c r="E300" s="61" t="s">
        <v>602</v>
      </c>
      <c r="F300" s="29" t="s">
        <v>88</v>
      </c>
      <c r="G300" s="29">
        <v>238</v>
      </c>
      <c r="H300" s="27">
        <v>235</v>
      </c>
      <c r="I300" s="27">
        <v>251</v>
      </c>
      <c r="J300" s="27">
        <v>251</v>
      </c>
      <c r="K300" s="27"/>
      <c r="L300" s="27"/>
      <c r="M300" s="32">
        <f t="shared" si="44"/>
        <v>740</v>
      </c>
      <c r="N300" s="32" t="s">
        <v>1330</v>
      </c>
      <c r="O300" s="32"/>
      <c r="P300" s="32">
        <f t="shared" si="45"/>
        <v>739.97059999999999</v>
      </c>
      <c r="Q300" s="32">
        <f t="shared" si="46"/>
        <v>4</v>
      </c>
      <c r="R300" s="32">
        <f t="shared" ca="1" si="47"/>
        <v>0</v>
      </c>
      <c r="S300" s="33" t="s">
        <v>79</v>
      </c>
      <c r="T300" s="34">
        <f t="shared" si="48"/>
        <v>0</v>
      </c>
      <c r="U300" s="34">
        <f t="shared" ca="1" si="49"/>
        <v>0</v>
      </c>
      <c r="V300" s="34">
        <f>-SUMPRODUCT((S$6:S299=S300)*(X$6:X299=X300))</f>
        <v>0</v>
      </c>
      <c r="W300" s="34">
        <f>-SUMPRODUCT((S$6:S299=S300)*(X$6:X299=X300)*(B$6:B299&lt;&gt;"NS"))</f>
        <v>0</v>
      </c>
      <c r="X300" s="35">
        <f t="shared" si="50"/>
        <v>740.27847999999994</v>
      </c>
      <c r="Y300" s="27">
        <v>251</v>
      </c>
      <c r="Z300" s="27">
        <v>251</v>
      </c>
      <c r="AA300" s="29">
        <v>238</v>
      </c>
      <c r="AB300" s="27">
        <v>235</v>
      </c>
      <c r="AC300" s="27"/>
      <c r="AD300" s="27"/>
      <c r="AF300" s="36">
        <v>0</v>
      </c>
      <c r="AG300" s="36">
        <v>0</v>
      </c>
      <c r="AH300" s="36">
        <v>0</v>
      </c>
      <c r="AI300" s="36">
        <v>0</v>
      </c>
      <c r="AJ300" s="37">
        <v>4</v>
      </c>
      <c r="AK300" s="38">
        <v>740.24991499999987</v>
      </c>
      <c r="AL300" s="39">
        <v>251</v>
      </c>
      <c r="AM300" s="32">
        <v>753</v>
      </c>
      <c r="AN300" s="39"/>
      <c r="AO300" s="39"/>
      <c r="AP300" s="39"/>
      <c r="AQ300" s="30"/>
      <c r="AR300" s="26"/>
      <c r="AS300" s="1"/>
    </row>
    <row r="301" spans="1:45" ht="15">
      <c r="A301" s="61">
        <v>5</v>
      </c>
      <c r="B301" s="61">
        <v>5</v>
      </c>
      <c r="C301" s="61"/>
      <c r="D301" s="61"/>
      <c r="E301" s="61" t="s">
        <v>125</v>
      </c>
      <c r="F301" s="29" t="s">
        <v>69</v>
      </c>
      <c r="G301" s="29">
        <v>230</v>
      </c>
      <c r="H301" s="27">
        <v>220</v>
      </c>
      <c r="I301" s="27">
        <v>232</v>
      </c>
      <c r="J301" s="27">
        <v>247</v>
      </c>
      <c r="K301" s="27">
        <v>257</v>
      </c>
      <c r="L301" s="27"/>
      <c r="M301" s="32">
        <f t="shared" si="44"/>
        <v>736</v>
      </c>
      <c r="N301" s="32" t="s">
        <v>1330</v>
      </c>
      <c r="O301" s="32"/>
      <c r="P301" s="32">
        <f t="shared" si="45"/>
        <v>735.97050000000002</v>
      </c>
      <c r="Q301" s="32">
        <f t="shared" si="46"/>
        <v>5</v>
      </c>
      <c r="R301" s="32">
        <f t="shared" ca="1" si="47"/>
        <v>0</v>
      </c>
      <c r="S301" s="33" t="s">
        <v>79</v>
      </c>
      <c r="T301" s="34">
        <f t="shared" si="48"/>
        <v>0</v>
      </c>
      <c r="U301" s="34">
        <f t="shared" ca="1" si="49"/>
        <v>257</v>
      </c>
      <c r="V301" s="34">
        <f>-SUMPRODUCT((S$6:S300=S301)*(X$6:X300=X301))</f>
        <v>0</v>
      </c>
      <c r="W301" s="34">
        <f>-SUMPRODUCT((S$6:S300=S301)*(X$6:X300=X301)*(B$6:B300&lt;&gt;"NS"))</f>
        <v>0</v>
      </c>
      <c r="X301" s="35">
        <f t="shared" si="50"/>
        <v>736.28402000000006</v>
      </c>
      <c r="Y301" s="27">
        <v>257</v>
      </c>
      <c r="Z301" s="27">
        <v>247</v>
      </c>
      <c r="AA301" s="27">
        <v>232</v>
      </c>
      <c r="AB301" s="29">
        <v>230</v>
      </c>
      <c r="AC301" s="27">
        <v>220</v>
      </c>
      <c r="AD301" s="27"/>
      <c r="AF301" s="36">
        <v>0</v>
      </c>
      <c r="AG301" s="36">
        <v>0</v>
      </c>
      <c r="AH301" s="36">
        <v>0</v>
      </c>
      <c r="AI301" s="36">
        <v>0</v>
      </c>
      <c r="AJ301" s="37">
        <v>4</v>
      </c>
      <c r="AK301" s="38">
        <v>709.24381999999991</v>
      </c>
      <c r="AL301" s="39">
        <v>247</v>
      </c>
      <c r="AM301" s="32">
        <v>726</v>
      </c>
      <c r="AN301" s="39"/>
      <c r="AO301" s="39"/>
      <c r="AP301" s="39"/>
      <c r="AQ301" s="30"/>
      <c r="AR301" s="26"/>
      <c r="AS301" s="1"/>
    </row>
    <row r="302" spans="1:45" ht="15">
      <c r="A302" s="61">
        <v>6</v>
      </c>
      <c r="B302" s="61">
        <v>6</v>
      </c>
      <c r="C302" s="61"/>
      <c r="D302" s="61"/>
      <c r="E302" s="61" t="s">
        <v>132</v>
      </c>
      <c r="F302" s="29" t="s">
        <v>134</v>
      </c>
      <c r="G302" s="29">
        <v>215</v>
      </c>
      <c r="H302" s="27">
        <v>221</v>
      </c>
      <c r="I302" s="27">
        <v>234</v>
      </c>
      <c r="J302" s="27">
        <v>238</v>
      </c>
      <c r="K302" s="27">
        <v>254</v>
      </c>
      <c r="L302" s="27"/>
      <c r="M302" s="32">
        <f t="shared" si="44"/>
        <v>726</v>
      </c>
      <c r="N302" s="32" t="s">
        <v>1330</v>
      </c>
      <c r="O302" s="32"/>
      <c r="P302" s="32">
        <f t="shared" si="45"/>
        <v>725.97040000000004</v>
      </c>
      <c r="Q302" s="32">
        <f t="shared" si="46"/>
        <v>5</v>
      </c>
      <c r="R302" s="32">
        <f t="shared" ca="1" si="47"/>
        <v>0</v>
      </c>
      <c r="S302" s="33" t="s">
        <v>79</v>
      </c>
      <c r="T302" s="34">
        <f t="shared" si="48"/>
        <v>0</v>
      </c>
      <c r="U302" s="34">
        <f t="shared" ca="1" si="49"/>
        <v>254</v>
      </c>
      <c r="V302" s="34">
        <f>-SUMPRODUCT((S$6:S301=S302)*(X$6:X301=X302))</f>
        <v>0</v>
      </c>
      <c r="W302" s="34">
        <f>-SUMPRODUCT((S$6:S301=S302)*(X$6:X301=X302)*(B$6:B301&lt;&gt;"NS"))</f>
        <v>0</v>
      </c>
      <c r="X302" s="35">
        <f t="shared" si="50"/>
        <v>726.28013999999996</v>
      </c>
      <c r="Y302" s="27">
        <v>254</v>
      </c>
      <c r="Z302" s="27">
        <v>238</v>
      </c>
      <c r="AA302" s="27">
        <v>234</v>
      </c>
      <c r="AB302" s="27">
        <v>221</v>
      </c>
      <c r="AC302" s="29">
        <v>215</v>
      </c>
      <c r="AD302" s="27"/>
      <c r="AF302" s="36">
        <v>0</v>
      </c>
      <c r="AG302" s="36">
        <v>0</v>
      </c>
      <c r="AH302" s="36">
        <v>0</v>
      </c>
      <c r="AI302" s="36">
        <v>0</v>
      </c>
      <c r="AJ302" s="37">
        <v>4</v>
      </c>
      <c r="AK302" s="38">
        <v>693.23482500000011</v>
      </c>
      <c r="AL302" s="39">
        <v>238</v>
      </c>
      <c r="AM302" s="32">
        <v>710</v>
      </c>
      <c r="AN302" s="39"/>
      <c r="AO302" s="39"/>
      <c r="AP302" s="39"/>
      <c r="AQ302" s="30"/>
      <c r="AR302" s="26"/>
      <c r="AS302" s="1"/>
    </row>
    <row r="303" spans="1:45" ht="15">
      <c r="A303" s="61">
        <v>7</v>
      </c>
      <c r="B303" s="61">
        <v>7</v>
      </c>
      <c r="C303" s="61"/>
      <c r="D303" s="61"/>
      <c r="E303" s="61" t="s">
        <v>124</v>
      </c>
      <c r="F303" s="29" t="s">
        <v>25</v>
      </c>
      <c r="G303" s="29">
        <v>211</v>
      </c>
      <c r="H303" s="27">
        <v>219</v>
      </c>
      <c r="I303" s="27">
        <v>222</v>
      </c>
      <c r="J303" s="27">
        <v>245</v>
      </c>
      <c r="K303" s="27">
        <v>258</v>
      </c>
      <c r="L303" s="27"/>
      <c r="M303" s="32">
        <f t="shared" si="44"/>
        <v>725</v>
      </c>
      <c r="N303" s="32" t="s">
        <v>1330</v>
      </c>
      <c r="O303" s="32"/>
      <c r="P303" s="32">
        <f t="shared" si="45"/>
        <v>724.97029999999995</v>
      </c>
      <c r="Q303" s="32">
        <f t="shared" si="46"/>
        <v>5</v>
      </c>
      <c r="R303" s="32">
        <f t="shared" ca="1" si="47"/>
        <v>0</v>
      </c>
      <c r="S303" s="33" t="s">
        <v>79</v>
      </c>
      <c r="T303" s="34">
        <f t="shared" si="48"/>
        <v>0</v>
      </c>
      <c r="U303" s="34">
        <f t="shared" ca="1" si="49"/>
        <v>258</v>
      </c>
      <c r="V303" s="34">
        <f>-SUMPRODUCT((S$6:S302=S303)*(X$6:X302=X303))</f>
        <v>0</v>
      </c>
      <c r="W303" s="34">
        <f>-SUMPRODUCT((S$6:S302=S303)*(X$6:X302=X303)*(B$6:B302&lt;&gt;"NS"))</f>
        <v>0</v>
      </c>
      <c r="X303" s="35">
        <f t="shared" si="50"/>
        <v>725.28471999999999</v>
      </c>
      <c r="Y303" s="27">
        <v>258</v>
      </c>
      <c r="Z303" s="27">
        <v>245</v>
      </c>
      <c r="AA303" s="27">
        <v>222</v>
      </c>
      <c r="AB303" s="27">
        <v>219</v>
      </c>
      <c r="AC303" s="29">
        <v>211</v>
      </c>
      <c r="AD303" s="27"/>
      <c r="AF303" s="36">
        <v>0</v>
      </c>
      <c r="AG303" s="36">
        <v>0</v>
      </c>
      <c r="AH303" s="36">
        <v>0</v>
      </c>
      <c r="AI303" s="36">
        <v>0</v>
      </c>
      <c r="AJ303" s="37">
        <v>4</v>
      </c>
      <c r="AK303" s="38">
        <v>686.24050100000011</v>
      </c>
      <c r="AL303" s="39">
        <v>245</v>
      </c>
      <c r="AM303" s="32">
        <v>712</v>
      </c>
      <c r="AN303" s="39"/>
      <c r="AO303" s="39"/>
      <c r="AP303" s="39"/>
      <c r="AQ303" s="30"/>
      <c r="AR303" s="26"/>
      <c r="AS303" s="1"/>
    </row>
    <row r="304" spans="1:45" ht="15">
      <c r="A304" s="61">
        <v>8</v>
      </c>
      <c r="B304" s="61">
        <v>8</v>
      </c>
      <c r="C304" s="61"/>
      <c r="D304" s="61"/>
      <c r="E304" s="61" t="s">
        <v>136</v>
      </c>
      <c r="F304" s="29" t="s">
        <v>38</v>
      </c>
      <c r="G304" s="29">
        <v>190</v>
      </c>
      <c r="H304" s="27">
        <v>199</v>
      </c>
      <c r="I304" s="27">
        <v>216</v>
      </c>
      <c r="J304" s="27">
        <v>235</v>
      </c>
      <c r="K304" s="27">
        <v>252</v>
      </c>
      <c r="L304" s="27"/>
      <c r="M304" s="32">
        <f t="shared" si="44"/>
        <v>703</v>
      </c>
      <c r="N304" s="32" t="s">
        <v>1330</v>
      </c>
      <c r="O304" s="32"/>
      <c r="P304" s="32">
        <f t="shared" si="45"/>
        <v>702.97019999999998</v>
      </c>
      <c r="Q304" s="32">
        <f t="shared" si="46"/>
        <v>5</v>
      </c>
      <c r="R304" s="32">
        <f t="shared" ca="1" si="47"/>
        <v>0</v>
      </c>
      <c r="S304" s="33" t="s">
        <v>79</v>
      </c>
      <c r="T304" s="34">
        <f t="shared" si="48"/>
        <v>0</v>
      </c>
      <c r="U304" s="34">
        <f t="shared" ca="1" si="49"/>
        <v>252</v>
      </c>
      <c r="V304" s="34">
        <f>-SUMPRODUCT((S$6:S303=S304)*(X$6:X303=X304))</f>
        <v>0</v>
      </c>
      <c r="W304" s="34">
        <f>-SUMPRODUCT((S$6:S303=S304)*(X$6:X303=X304)*(B$6:B303&lt;&gt;"NS"))</f>
        <v>0</v>
      </c>
      <c r="X304" s="35">
        <f t="shared" si="50"/>
        <v>703.27765999999997</v>
      </c>
      <c r="Y304" s="27">
        <v>252</v>
      </c>
      <c r="Z304" s="27">
        <v>235</v>
      </c>
      <c r="AA304" s="27">
        <v>216</v>
      </c>
      <c r="AB304" s="27">
        <v>199</v>
      </c>
      <c r="AC304" s="29">
        <v>190</v>
      </c>
      <c r="AD304" s="27"/>
      <c r="AF304" s="36">
        <v>0</v>
      </c>
      <c r="AG304" s="36">
        <v>0</v>
      </c>
      <c r="AH304" s="36">
        <v>0</v>
      </c>
      <c r="AI304" s="36">
        <v>0</v>
      </c>
      <c r="AJ304" s="37">
        <v>4</v>
      </c>
      <c r="AK304" s="38">
        <v>650.22958000000006</v>
      </c>
      <c r="AL304" s="39">
        <v>235</v>
      </c>
      <c r="AM304" s="32">
        <v>686</v>
      </c>
      <c r="AN304" s="39"/>
      <c r="AO304" s="39"/>
      <c r="AP304" s="39"/>
      <c r="AQ304" s="30"/>
      <c r="AR304" s="26"/>
      <c r="AS304" s="1"/>
    </row>
    <row r="305" spans="1:45" ht="15">
      <c r="A305" s="61">
        <v>9</v>
      </c>
      <c r="B305" s="61">
        <v>9</v>
      </c>
      <c r="C305" s="61"/>
      <c r="D305" s="61"/>
      <c r="E305" s="61" t="s">
        <v>152</v>
      </c>
      <c r="F305" s="29" t="s">
        <v>88</v>
      </c>
      <c r="G305" s="29">
        <v>176</v>
      </c>
      <c r="H305" s="27">
        <v>187</v>
      </c>
      <c r="I305" s="27"/>
      <c r="J305" s="27">
        <v>240</v>
      </c>
      <c r="K305" s="27">
        <v>245</v>
      </c>
      <c r="L305" s="27"/>
      <c r="M305" s="32">
        <f t="shared" si="44"/>
        <v>672</v>
      </c>
      <c r="N305" s="32" t="s">
        <v>1330</v>
      </c>
      <c r="O305" s="32"/>
      <c r="P305" s="32">
        <f t="shared" si="45"/>
        <v>671.9701</v>
      </c>
      <c r="Q305" s="32">
        <f t="shared" si="46"/>
        <v>4</v>
      </c>
      <c r="R305" s="32">
        <f t="shared" ca="1" si="47"/>
        <v>0</v>
      </c>
      <c r="S305" s="33" t="s">
        <v>79</v>
      </c>
      <c r="T305" s="34">
        <f t="shared" si="48"/>
        <v>0</v>
      </c>
      <c r="U305" s="34">
        <f t="shared" ca="1" si="49"/>
        <v>245</v>
      </c>
      <c r="V305" s="34">
        <f>-SUMPRODUCT((S$6:S304=S305)*(X$6:X304=X305))</f>
        <v>0</v>
      </c>
      <c r="W305" s="34">
        <f>-SUMPRODUCT((S$6:S304=S305)*(X$6:X304=X305)*(B$6:B304&lt;&gt;"NS"))</f>
        <v>0</v>
      </c>
      <c r="X305" s="35">
        <f t="shared" si="50"/>
        <v>672.27086999999995</v>
      </c>
      <c r="Y305" s="27">
        <v>245</v>
      </c>
      <c r="Z305" s="27">
        <v>240</v>
      </c>
      <c r="AA305" s="27">
        <v>187</v>
      </c>
      <c r="AB305" s="29">
        <v>176</v>
      </c>
      <c r="AC305" s="27"/>
      <c r="AD305" s="27"/>
      <c r="AF305" s="36">
        <v>0</v>
      </c>
      <c r="AG305" s="36">
        <v>0</v>
      </c>
      <c r="AH305" s="36">
        <v>0</v>
      </c>
      <c r="AI305" s="36">
        <v>0</v>
      </c>
      <c r="AJ305" s="37">
        <v>3</v>
      </c>
      <c r="AK305" s="38">
        <v>603.23115999999993</v>
      </c>
      <c r="AL305" s="39">
        <v>240</v>
      </c>
      <c r="AM305" s="32">
        <v>667</v>
      </c>
      <c r="AN305" s="39"/>
      <c r="AO305" s="39"/>
      <c r="AP305" s="39"/>
      <c r="AQ305" s="30"/>
      <c r="AR305" s="26"/>
      <c r="AS305" s="1"/>
    </row>
    <row r="306" spans="1:45" ht="15">
      <c r="A306" s="61">
        <v>10</v>
      </c>
      <c r="B306" s="61">
        <v>10</v>
      </c>
      <c r="C306" s="61"/>
      <c r="D306" s="61"/>
      <c r="E306" s="61" t="s">
        <v>170</v>
      </c>
      <c r="F306" s="29" t="s">
        <v>61</v>
      </c>
      <c r="G306" s="29">
        <v>170</v>
      </c>
      <c r="H306" s="27">
        <v>166</v>
      </c>
      <c r="I306" s="27">
        <v>189</v>
      </c>
      <c r="J306" s="27">
        <v>205</v>
      </c>
      <c r="K306" s="27">
        <v>233</v>
      </c>
      <c r="L306" s="27"/>
      <c r="M306" s="32">
        <f t="shared" si="44"/>
        <v>627</v>
      </c>
      <c r="N306" s="32" t="s">
        <v>1330</v>
      </c>
      <c r="O306" s="32"/>
      <c r="P306" s="32">
        <f t="shared" si="45"/>
        <v>626.97</v>
      </c>
      <c r="Q306" s="32">
        <f t="shared" si="46"/>
        <v>5</v>
      </c>
      <c r="R306" s="32">
        <f t="shared" ca="1" si="47"/>
        <v>0</v>
      </c>
      <c r="S306" s="33" t="s">
        <v>79</v>
      </c>
      <c r="T306" s="34">
        <f t="shared" si="48"/>
        <v>0</v>
      </c>
      <c r="U306" s="34">
        <f t="shared" ca="1" si="49"/>
        <v>233</v>
      </c>
      <c r="V306" s="34">
        <f>-SUMPRODUCT((S$6:S305=S306)*(X$6:X305=X306))</f>
        <v>0</v>
      </c>
      <c r="W306" s="34">
        <f>-SUMPRODUCT((S$6:S305=S306)*(X$6:X305=X306)*(B$6:B305&lt;&gt;"NS"))</f>
        <v>0</v>
      </c>
      <c r="X306" s="35">
        <f t="shared" si="50"/>
        <v>627.25539000000003</v>
      </c>
      <c r="Y306" s="27">
        <v>233</v>
      </c>
      <c r="Z306" s="27">
        <v>205</v>
      </c>
      <c r="AA306" s="27">
        <v>189</v>
      </c>
      <c r="AB306" s="29">
        <v>170</v>
      </c>
      <c r="AC306" s="27">
        <v>166</v>
      </c>
      <c r="AD306" s="27"/>
      <c r="AF306" s="36">
        <v>0</v>
      </c>
      <c r="AG306" s="36">
        <v>0</v>
      </c>
      <c r="AH306" s="36">
        <v>0</v>
      </c>
      <c r="AI306" s="36">
        <v>0</v>
      </c>
      <c r="AJ306" s="37">
        <v>4</v>
      </c>
      <c r="AK306" s="38">
        <v>564.19616600000018</v>
      </c>
      <c r="AL306" s="39">
        <v>205</v>
      </c>
      <c r="AM306" s="32">
        <v>599</v>
      </c>
      <c r="AN306" s="39"/>
      <c r="AO306" s="39"/>
      <c r="AP306" s="39"/>
      <c r="AQ306" s="30"/>
      <c r="AR306" s="26"/>
      <c r="AS306" s="1"/>
    </row>
    <row r="307" spans="1:45" ht="15">
      <c r="A307" s="61">
        <v>11</v>
      </c>
      <c r="B307" s="61">
        <v>11</v>
      </c>
      <c r="C307" s="61"/>
      <c r="D307" s="61"/>
      <c r="E307" s="61" t="s">
        <v>603</v>
      </c>
      <c r="F307" s="29" t="s">
        <v>53</v>
      </c>
      <c r="G307" s="29">
        <v>192</v>
      </c>
      <c r="H307" s="27">
        <v>183</v>
      </c>
      <c r="I307" s="27">
        <v>218</v>
      </c>
      <c r="J307" s="27"/>
      <c r="K307" s="27"/>
      <c r="L307" s="27"/>
      <c r="M307" s="32">
        <f t="shared" si="44"/>
        <v>593</v>
      </c>
      <c r="N307" s="32" t="s">
        <v>1330</v>
      </c>
      <c r="O307" s="32"/>
      <c r="P307" s="32">
        <f t="shared" si="45"/>
        <v>592.96990000000005</v>
      </c>
      <c r="Q307" s="32">
        <f t="shared" si="46"/>
        <v>3</v>
      </c>
      <c r="R307" s="32">
        <f t="shared" ca="1" si="47"/>
        <v>0</v>
      </c>
      <c r="S307" s="33" t="s">
        <v>79</v>
      </c>
      <c r="T307" s="34">
        <f t="shared" si="48"/>
        <v>0</v>
      </c>
      <c r="U307" s="34">
        <f t="shared" ca="1" si="49"/>
        <v>0</v>
      </c>
      <c r="V307" s="34">
        <f>-SUMPRODUCT((S$6:S306=S307)*(X$6:X306=X307))</f>
        <v>0</v>
      </c>
      <c r="W307" s="34">
        <f>-SUMPRODUCT((S$6:S306=S307)*(X$6:X306=X307)*(B$6:B306&lt;&gt;"NS"))</f>
        <v>0</v>
      </c>
      <c r="X307" s="35">
        <f t="shared" si="50"/>
        <v>593.23902999999996</v>
      </c>
      <c r="Y307" s="27">
        <v>218</v>
      </c>
      <c r="Z307" s="29">
        <v>192</v>
      </c>
      <c r="AA307" s="27">
        <v>183</v>
      </c>
      <c r="AB307" s="27"/>
      <c r="AC307" s="27"/>
      <c r="AD307" s="27"/>
      <c r="AF307" s="36">
        <v>0</v>
      </c>
      <c r="AG307" s="36">
        <v>0</v>
      </c>
      <c r="AH307" s="36">
        <v>0</v>
      </c>
      <c r="AI307" s="36">
        <v>0</v>
      </c>
      <c r="AJ307" s="37">
        <v>3</v>
      </c>
      <c r="AK307" s="38">
        <v>593.20962999999995</v>
      </c>
      <c r="AL307" s="39">
        <v>218</v>
      </c>
      <c r="AM307" s="32">
        <v>628</v>
      </c>
      <c r="AN307" s="39"/>
      <c r="AO307" s="39"/>
      <c r="AP307" s="39"/>
      <c r="AQ307" s="30"/>
      <c r="AR307" s="26"/>
      <c r="AS307" s="1"/>
    </row>
    <row r="308" spans="1:45" ht="15">
      <c r="A308" s="61">
        <v>12</v>
      </c>
      <c r="B308" s="61">
        <v>12</v>
      </c>
      <c r="C308" s="61"/>
      <c r="D308" s="61"/>
      <c r="E308" s="61" t="s">
        <v>604</v>
      </c>
      <c r="F308" s="29" t="s">
        <v>88</v>
      </c>
      <c r="G308" s="29">
        <v>187</v>
      </c>
      <c r="H308" s="27">
        <v>200</v>
      </c>
      <c r="I308" s="27">
        <v>203</v>
      </c>
      <c r="J308" s="27"/>
      <c r="K308" s="27"/>
      <c r="L308" s="27"/>
      <c r="M308" s="32">
        <f t="shared" si="44"/>
        <v>590</v>
      </c>
      <c r="N308" s="32" t="s">
        <v>1330</v>
      </c>
      <c r="O308" s="32"/>
      <c r="P308" s="32">
        <f t="shared" si="45"/>
        <v>589.96979999999996</v>
      </c>
      <c r="Q308" s="32">
        <f t="shared" si="46"/>
        <v>3</v>
      </c>
      <c r="R308" s="32">
        <f t="shared" ca="1" si="47"/>
        <v>0</v>
      </c>
      <c r="S308" s="33" t="s">
        <v>79</v>
      </c>
      <c r="T308" s="34">
        <f t="shared" si="48"/>
        <v>0</v>
      </c>
      <c r="U308" s="34">
        <f t="shared" ca="1" si="49"/>
        <v>0</v>
      </c>
      <c r="V308" s="34">
        <f>-SUMPRODUCT((S$6:S307=S308)*(X$6:X307=X308))</f>
        <v>0</v>
      </c>
      <c r="W308" s="34">
        <f>-SUMPRODUCT((S$6:S307=S308)*(X$6:X307=X308)*(B$6:B307&lt;&gt;"NS"))</f>
        <v>0</v>
      </c>
      <c r="X308" s="35">
        <f t="shared" si="50"/>
        <v>590.22487000000001</v>
      </c>
      <c r="Y308" s="27">
        <v>203</v>
      </c>
      <c r="Z308" s="27">
        <v>200</v>
      </c>
      <c r="AA308" s="29">
        <v>187</v>
      </c>
      <c r="AB308" s="27"/>
      <c r="AC308" s="27"/>
      <c r="AD308" s="27"/>
      <c r="AF308" s="36">
        <v>0</v>
      </c>
      <c r="AG308" s="36">
        <v>0</v>
      </c>
      <c r="AH308" s="36">
        <v>0</v>
      </c>
      <c r="AI308" s="36">
        <v>0</v>
      </c>
      <c r="AJ308" s="37">
        <v>3</v>
      </c>
      <c r="AK308" s="38">
        <v>590.19537000000003</v>
      </c>
      <c r="AL308" s="39">
        <v>203</v>
      </c>
      <c r="AM308" s="32">
        <v>606</v>
      </c>
      <c r="AN308" s="39"/>
      <c r="AO308" s="39"/>
      <c r="AP308" s="39"/>
      <c r="AQ308" s="30"/>
      <c r="AR308" s="26"/>
      <c r="AS308" s="1"/>
    </row>
    <row r="309" spans="1:45" ht="15">
      <c r="A309" s="61">
        <v>13</v>
      </c>
      <c r="B309" s="61">
        <v>13</v>
      </c>
      <c r="C309" s="61"/>
      <c r="D309" s="61"/>
      <c r="E309" s="61" t="s">
        <v>195</v>
      </c>
      <c r="F309" s="29" t="s">
        <v>103</v>
      </c>
      <c r="G309" s="29">
        <v>128</v>
      </c>
      <c r="H309" s="27">
        <v>162</v>
      </c>
      <c r="I309" s="27">
        <v>180</v>
      </c>
      <c r="J309" s="27"/>
      <c r="K309" s="27">
        <v>221</v>
      </c>
      <c r="L309" s="27"/>
      <c r="M309" s="32">
        <f t="shared" si="44"/>
        <v>563</v>
      </c>
      <c r="N309" s="32" t="s">
        <v>1330</v>
      </c>
      <c r="O309" s="32"/>
      <c r="P309" s="32">
        <f t="shared" si="45"/>
        <v>562.96969999999999</v>
      </c>
      <c r="Q309" s="32">
        <f t="shared" si="46"/>
        <v>4</v>
      </c>
      <c r="R309" s="32">
        <f t="shared" ca="1" si="47"/>
        <v>0</v>
      </c>
      <c r="S309" s="33" t="s">
        <v>79</v>
      </c>
      <c r="T309" s="34">
        <f t="shared" si="48"/>
        <v>0</v>
      </c>
      <c r="U309" s="34">
        <f t="shared" ca="1" si="49"/>
        <v>221</v>
      </c>
      <c r="V309" s="34">
        <f>-SUMPRODUCT((S$6:S308=S309)*(X$6:X308=X309))</f>
        <v>0</v>
      </c>
      <c r="W309" s="34">
        <f>-SUMPRODUCT((S$6:S308=S309)*(X$6:X308=X309)*(B$6:B308&lt;&gt;"NS"))</f>
        <v>0</v>
      </c>
      <c r="X309" s="35">
        <f t="shared" si="50"/>
        <v>563.24062000000004</v>
      </c>
      <c r="Y309" s="27">
        <v>221</v>
      </c>
      <c r="Z309" s="27">
        <v>180</v>
      </c>
      <c r="AA309" s="27">
        <v>162</v>
      </c>
      <c r="AB309" s="29">
        <v>128</v>
      </c>
      <c r="AC309" s="27"/>
      <c r="AD309" s="27"/>
      <c r="AF309" s="36">
        <v>0</v>
      </c>
      <c r="AG309" s="36">
        <v>0</v>
      </c>
      <c r="AH309" s="36">
        <v>0</v>
      </c>
      <c r="AI309" s="36">
        <v>0</v>
      </c>
      <c r="AJ309" s="37">
        <v>3</v>
      </c>
      <c r="AK309" s="38">
        <v>470.16758000000004</v>
      </c>
      <c r="AL309" s="39">
        <v>180</v>
      </c>
      <c r="AM309" s="32">
        <v>522</v>
      </c>
      <c r="AN309" s="39"/>
      <c r="AO309" s="39"/>
      <c r="AP309" s="39"/>
      <c r="AQ309" s="30"/>
      <c r="AR309" s="26"/>
      <c r="AS309" s="1"/>
    </row>
    <row r="310" spans="1:45" ht="15">
      <c r="A310" s="61">
        <v>14</v>
      </c>
      <c r="B310" s="61">
        <v>14</v>
      </c>
      <c r="C310" s="61"/>
      <c r="D310" s="61"/>
      <c r="E310" s="61" t="s">
        <v>605</v>
      </c>
      <c r="F310" s="29" t="s">
        <v>47</v>
      </c>
      <c r="G310" s="29">
        <v>165</v>
      </c>
      <c r="H310" s="27">
        <v>157</v>
      </c>
      <c r="I310" s="27">
        <v>206</v>
      </c>
      <c r="J310" s="27">
        <v>169</v>
      </c>
      <c r="K310" s="27"/>
      <c r="L310" s="27"/>
      <c r="M310" s="32">
        <f t="shared" si="44"/>
        <v>540</v>
      </c>
      <c r="N310" s="32" t="s">
        <v>1330</v>
      </c>
      <c r="O310" s="32"/>
      <c r="P310" s="32">
        <f t="shared" si="45"/>
        <v>539.96960000000001</v>
      </c>
      <c r="Q310" s="32">
        <f t="shared" si="46"/>
        <v>4</v>
      </c>
      <c r="R310" s="32">
        <f t="shared" ca="1" si="47"/>
        <v>0</v>
      </c>
      <c r="S310" s="33" t="s">
        <v>79</v>
      </c>
      <c r="T310" s="34">
        <f t="shared" si="48"/>
        <v>0</v>
      </c>
      <c r="U310" s="34">
        <f t="shared" ca="1" si="49"/>
        <v>0</v>
      </c>
      <c r="V310" s="34">
        <f>-SUMPRODUCT((S$6:S309=S310)*(X$6:X309=X310))</f>
        <v>0</v>
      </c>
      <c r="W310" s="34">
        <f>-SUMPRODUCT((S$6:S309=S310)*(X$6:X309=X310)*(B$6:B309&lt;&gt;"NS"))</f>
        <v>0</v>
      </c>
      <c r="X310" s="35">
        <f t="shared" si="50"/>
        <v>540.22455000000002</v>
      </c>
      <c r="Y310" s="27">
        <v>206</v>
      </c>
      <c r="Z310" s="27">
        <v>169</v>
      </c>
      <c r="AA310" s="29">
        <v>165</v>
      </c>
      <c r="AB310" s="27">
        <v>157</v>
      </c>
      <c r="AC310" s="27"/>
      <c r="AD310" s="27"/>
      <c r="AF310" s="36">
        <v>0</v>
      </c>
      <c r="AG310" s="36">
        <v>0</v>
      </c>
      <c r="AH310" s="36">
        <v>0</v>
      </c>
      <c r="AI310" s="36">
        <v>0</v>
      </c>
      <c r="AJ310" s="37">
        <v>4</v>
      </c>
      <c r="AK310" s="38">
        <v>540.19500699999992</v>
      </c>
      <c r="AL310" s="39">
        <v>206</v>
      </c>
      <c r="AM310" s="32">
        <v>581</v>
      </c>
      <c r="AN310" s="39"/>
      <c r="AO310" s="39"/>
      <c r="AP310" s="39"/>
      <c r="AQ310" s="30"/>
      <c r="AR310" s="26"/>
      <c r="AS310" s="1"/>
    </row>
    <row r="311" spans="1:45" ht="15">
      <c r="A311" s="61">
        <v>15</v>
      </c>
      <c r="B311" s="61">
        <v>15</v>
      </c>
      <c r="C311" s="61"/>
      <c r="D311" s="61"/>
      <c r="E311" s="61" t="s">
        <v>206</v>
      </c>
      <c r="F311" s="29" t="s">
        <v>84</v>
      </c>
      <c r="G311" s="29">
        <v>105</v>
      </c>
      <c r="H311" s="27">
        <v>122</v>
      </c>
      <c r="I311" s="27">
        <v>140</v>
      </c>
      <c r="J311" s="27">
        <v>176</v>
      </c>
      <c r="K311" s="27">
        <v>214</v>
      </c>
      <c r="L311" s="27"/>
      <c r="M311" s="32">
        <f t="shared" si="44"/>
        <v>530</v>
      </c>
      <c r="N311" s="32" t="s">
        <v>1330</v>
      </c>
      <c r="O311" s="32"/>
      <c r="P311" s="32">
        <f t="shared" si="45"/>
        <v>529.96950000000004</v>
      </c>
      <c r="Q311" s="32">
        <f t="shared" si="46"/>
        <v>5</v>
      </c>
      <c r="R311" s="32">
        <f t="shared" ca="1" si="47"/>
        <v>0</v>
      </c>
      <c r="S311" s="33" t="s">
        <v>79</v>
      </c>
      <c r="T311" s="34">
        <f t="shared" si="48"/>
        <v>0</v>
      </c>
      <c r="U311" s="34">
        <f t="shared" ca="1" si="49"/>
        <v>214</v>
      </c>
      <c r="V311" s="34">
        <f>-SUMPRODUCT((S$6:S310=S311)*(X$6:X310=X311))</f>
        <v>0</v>
      </c>
      <c r="W311" s="34">
        <f>-SUMPRODUCT((S$6:S310=S311)*(X$6:X310=X311)*(B$6:B310&lt;&gt;"NS"))</f>
        <v>0</v>
      </c>
      <c r="X311" s="35">
        <f t="shared" si="50"/>
        <v>530.23299999999995</v>
      </c>
      <c r="Y311" s="27">
        <v>214</v>
      </c>
      <c r="Z311" s="27">
        <v>176</v>
      </c>
      <c r="AA311" s="27">
        <v>140</v>
      </c>
      <c r="AB311" s="27">
        <v>122</v>
      </c>
      <c r="AC311" s="29">
        <v>105</v>
      </c>
      <c r="AD311" s="27"/>
      <c r="AF311" s="36">
        <v>0</v>
      </c>
      <c r="AG311" s="36">
        <v>0</v>
      </c>
      <c r="AH311" s="36">
        <v>0</v>
      </c>
      <c r="AI311" s="36">
        <v>0</v>
      </c>
      <c r="AJ311" s="37">
        <v>4</v>
      </c>
      <c r="AK311" s="38">
        <v>438.161225</v>
      </c>
      <c r="AL311" s="39">
        <v>176</v>
      </c>
      <c r="AM311" s="32">
        <v>492</v>
      </c>
      <c r="AN311" s="39"/>
      <c r="AO311" s="39"/>
      <c r="AP311" s="39"/>
      <c r="AQ311" s="30"/>
      <c r="AR311" s="26"/>
      <c r="AS311" s="1"/>
    </row>
    <row r="312" spans="1:45" ht="15">
      <c r="A312" s="61">
        <v>16</v>
      </c>
      <c r="B312" s="61">
        <v>16</v>
      </c>
      <c r="C312" s="61"/>
      <c r="D312" s="61"/>
      <c r="E312" s="61" t="s">
        <v>262</v>
      </c>
      <c r="F312" s="29" t="s">
        <v>66</v>
      </c>
      <c r="G312" s="29">
        <v>141</v>
      </c>
      <c r="H312" s="27"/>
      <c r="I312" s="27"/>
      <c r="J312" s="27">
        <v>186</v>
      </c>
      <c r="K312" s="27">
        <v>190</v>
      </c>
      <c r="L312" s="27"/>
      <c r="M312" s="32">
        <f t="shared" si="44"/>
        <v>517</v>
      </c>
      <c r="N312" s="32" t="s">
        <v>1330</v>
      </c>
      <c r="O312" s="32"/>
      <c r="P312" s="32">
        <f t="shared" si="45"/>
        <v>516.96939999999995</v>
      </c>
      <c r="Q312" s="32">
        <f t="shared" si="46"/>
        <v>3</v>
      </c>
      <c r="R312" s="32">
        <f t="shared" ca="1" si="47"/>
        <v>0</v>
      </c>
      <c r="S312" s="33" t="s">
        <v>79</v>
      </c>
      <c r="T312" s="34">
        <f t="shared" si="48"/>
        <v>0</v>
      </c>
      <c r="U312" s="34">
        <f t="shared" ca="1" si="49"/>
        <v>190</v>
      </c>
      <c r="V312" s="34">
        <f>-SUMPRODUCT((S$6:S311=S312)*(X$6:X311=X312))</f>
        <v>0</v>
      </c>
      <c r="W312" s="34">
        <f>-SUMPRODUCT((S$6:S311=S312)*(X$6:X311=X312)*(B$6:B311&lt;&gt;"NS"))</f>
        <v>0</v>
      </c>
      <c r="X312" s="35">
        <f t="shared" si="50"/>
        <v>517.21001000000001</v>
      </c>
      <c r="Y312" s="27">
        <v>190</v>
      </c>
      <c r="Z312" s="27">
        <v>186</v>
      </c>
      <c r="AA312" s="29">
        <v>141</v>
      </c>
      <c r="AB312" s="27"/>
      <c r="AC312" s="27"/>
      <c r="AD312" s="27"/>
      <c r="AF312" s="36">
        <v>0</v>
      </c>
      <c r="AG312" s="36">
        <v>0</v>
      </c>
      <c r="AH312" s="36">
        <v>0</v>
      </c>
      <c r="AI312" s="36">
        <v>0</v>
      </c>
      <c r="AJ312" s="37">
        <v>2</v>
      </c>
      <c r="AK312" s="38">
        <v>327.16859999999997</v>
      </c>
      <c r="AL312" s="39">
        <v>186</v>
      </c>
      <c r="AM312" s="32">
        <v>513</v>
      </c>
      <c r="AN312" s="39"/>
      <c r="AO312" s="39"/>
      <c r="AP312" s="39"/>
      <c r="AQ312" s="30"/>
      <c r="AR312" s="26"/>
      <c r="AS312" s="1"/>
    </row>
    <row r="313" spans="1:45" ht="15">
      <c r="A313" s="61">
        <v>17</v>
      </c>
      <c r="B313" s="61">
        <v>17</v>
      </c>
      <c r="C313" s="61"/>
      <c r="D313" s="61"/>
      <c r="E313" s="61" t="s">
        <v>606</v>
      </c>
      <c r="F313" s="29" t="s">
        <v>66</v>
      </c>
      <c r="G313" s="29">
        <v>162</v>
      </c>
      <c r="H313" s="27">
        <v>163</v>
      </c>
      <c r="I313" s="27">
        <v>190</v>
      </c>
      <c r="J313" s="27"/>
      <c r="K313" s="27"/>
      <c r="L313" s="27"/>
      <c r="M313" s="32">
        <f t="shared" si="44"/>
        <v>515</v>
      </c>
      <c r="N313" s="32" t="s">
        <v>1330</v>
      </c>
      <c r="O313" s="32"/>
      <c r="P313" s="32">
        <f t="shared" si="45"/>
        <v>514.96929999999998</v>
      </c>
      <c r="Q313" s="32">
        <f t="shared" si="46"/>
        <v>3</v>
      </c>
      <c r="R313" s="32">
        <f t="shared" ca="1" si="47"/>
        <v>0</v>
      </c>
      <c r="S313" s="33" t="s">
        <v>79</v>
      </c>
      <c r="T313" s="34">
        <f t="shared" si="48"/>
        <v>0</v>
      </c>
      <c r="U313" s="34">
        <f t="shared" ca="1" si="49"/>
        <v>0</v>
      </c>
      <c r="V313" s="34">
        <f>-SUMPRODUCT((S$6:S312=S313)*(X$6:X312=X313))</f>
        <v>0</v>
      </c>
      <c r="W313" s="34">
        <f>-SUMPRODUCT((S$6:S312=S313)*(X$6:X312=X313)*(B$6:B312&lt;&gt;"NS"))</f>
        <v>0</v>
      </c>
      <c r="X313" s="35">
        <f t="shared" si="50"/>
        <v>515.20791999999994</v>
      </c>
      <c r="Y313" s="27">
        <v>190</v>
      </c>
      <c r="Z313" s="27">
        <v>163</v>
      </c>
      <c r="AA313" s="29">
        <v>162</v>
      </c>
      <c r="AB313" s="27"/>
      <c r="AC313" s="27"/>
      <c r="AD313" s="27"/>
      <c r="AF313" s="36">
        <v>0</v>
      </c>
      <c r="AG313" s="36">
        <v>0</v>
      </c>
      <c r="AH313" s="36">
        <v>0</v>
      </c>
      <c r="AI313" s="36">
        <v>0</v>
      </c>
      <c r="AJ313" s="37">
        <v>3</v>
      </c>
      <c r="AK313" s="38">
        <v>515.17812000000004</v>
      </c>
      <c r="AL313" s="39">
        <v>190</v>
      </c>
      <c r="AM313" s="32">
        <v>543</v>
      </c>
      <c r="AN313" s="39"/>
      <c r="AO313" s="39"/>
      <c r="AP313" s="39"/>
      <c r="AQ313" s="30"/>
      <c r="AR313" s="26"/>
      <c r="AS313" s="1"/>
    </row>
    <row r="314" spans="1:45" ht="15">
      <c r="A314" s="61">
        <v>18</v>
      </c>
      <c r="B314" s="61">
        <v>18</v>
      </c>
      <c r="C314" s="61"/>
      <c r="D314" s="61"/>
      <c r="E314" s="61" t="s">
        <v>226</v>
      </c>
      <c r="F314" s="29" t="s">
        <v>88</v>
      </c>
      <c r="G314" s="29">
        <v>81</v>
      </c>
      <c r="H314" s="27">
        <v>91</v>
      </c>
      <c r="I314" s="27">
        <v>136</v>
      </c>
      <c r="J314" s="27">
        <v>161</v>
      </c>
      <c r="K314" s="27">
        <v>203</v>
      </c>
      <c r="L314" s="27"/>
      <c r="M314" s="32">
        <f t="shared" si="44"/>
        <v>500</v>
      </c>
      <c r="N314" s="32" t="s">
        <v>1330</v>
      </c>
      <c r="O314" s="32"/>
      <c r="P314" s="32">
        <f t="shared" si="45"/>
        <v>499.9692</v>
      </c>
      <c r="Q314" s="32">
        <f t="shared" si="46"/>
        <v>5</v>
      </c>
      <c r="R314" s="32">
        <f t="shared" ca="1" si="47"/>
        <v>0</v>
      </c>
      <c r="S314" s="33" t="s">
        <v>79</v>
      </c>
      <c r="T314" s="34">
        <f t="shared" si="48"/>
        <v>0</v>
      </c>
      <c r="U314" s="34">
        <f t="shared" ca="1" si="49"/>
        <v>203</v>
      </c>
      <c r="V314" s="34">
        <f>-SUMPRODUCT((S$6:S313=S314)*(X$6:X313=X314))</f>
        <v>0</v>
      </c>
      <c r="W314" s="34">
        <f>-SUMPRODUCT((S$6:S313=S314)*(X$6:X313=X314)*(B$6:B313&lt;&gt;"NS"))</f>
        <v>0</v>
      </c>
      <c r="X314" s="35">
        <f t="shared" si="50"/>
        <v>500.22046</v>
      </c>
      <c r="Y314" s="27">
        <v>203</v>
      </c>
      <c r="Z314" s="27">
        <v>161</v>
      </c>
      <c r="AA314" s="27">
        <v>136</v>
      </c>
      <c r="AB314" s="27">
        <v>91</v>
      </c>
      <c r="AC314" s="29">
        <v>81</v>
      </c>
      <c r="AD314" s="27"/>
      <c r="AF314" s="36">
        <v>0</v>
      </c>
      <c r="AG314" s="36">
        <v>0</v>
      </c>
      <c r="AH314" s="36">
        <v>0</v>
      </c>
      <c r="AI314" s="36">
        <v>0</v>
      </c>
      <c r="AJ314" s="37">
        <v>4</v>
      </c>
      <c r="AK314" s="38">
        <v>388.14489099999997</v>
      </c>
      <c r="AL314" s="39">
        <v>161</v>
      </c>
      <c r="AM314" s="32">
        <v>458</v>
      </c>
      <c r="AN314" s="39"/>
      <c r="AO314" s="39"/>
      <c r="AP314" s="39"/>
      <c r="AQ314" s="30"/>
      <c r="AR314" s="26"/>
      <c r="AS314" s="1"/>
    </row>
    <row r="315" spans="1:45" ht="15">
      <c r="A315" s="61">
        <v>19</v>
      </c>
      <c r="B315" s="61">
        <v>19</v>
      </c>
      <c r="C315" s="61"/>
      <c r="D315" s="61"/>
      <c r="E315" s="61" t="s">
        <v>243</v>
      </c>
      <c r="F315" s="29" t="s">
        <v>47</v>
      </c>
      <c r="G315" s="29"/>
      <c r="H315" s="27">
        <v>103</v>
      </c>
      <c r="I315" s="27">
        <v>126</v>
      </c>
      <c r="J315" s="27">
        <v>156</v>
      </c>
      <c r="K315" s="27">
        <v>197</v>
      </c>
      <c r="L315" s="27"/>
      <c r="M315" s="32">
        <f t="shared" si="44"/>
        <v>479</v>
      </c>
      <c r="N315" s="32" t="s">
        <v>1330</v>
      </c>
      <c r="O315" s="32"/>
      <c r="P315" s="32">
        <f t="shared" si="45"/>
        <v>478.96910000000003</v>
      </c>
      <c r="Q315" s="32">
        <f t="shared" si="46"/>
        <v>4</v>
      </c>
      <c r="R315" s="32">
        <f t="shared" ca="1" si="47"/>
        <v>0</v>
      </c>
      <c r="S315" s="33" t="s">
        <v>79</v>
      </c>
      <c r="T315" s="34">
        <f t="shared" si="48"/>
        <v>0</v>
      </c>
      <c r="U315" s="34">
        <f t="shared" ca="1" si="49"/>
        <v>197</v>
      </c>
      <c r="V315" s="34">
        <f>-SUMPRODUCT((S$6:S314=S315)*(X$6:X314=X315))</f>
        <v>0</v>
      </c>
      <c r="W315" s="34">
        <f>-SUMPRODUCT((S$6:S314=S315)*(X$6:X314=X315)*(B$6:B314&lt;&gt;"NS"))</f>
        <v>0</v>
      </c>
      <c r="X315" s="35">
        <f t="shared" si="50"/>
        <v>479.21386000000001</v>
      </c>
      <c r="Y315" s="27">
        <v>197</v>
      </c>
      <c r="Z315" s="27">
        <v>156</v>
      </c>
      <c r="AA315" s="27">
        <v>126</v>
      </c>
      <c r="AB315" s="27">
        <v>103</v>
      </c>
      <c r="AC315" s="29"/>
      <c r="AD315" s="27"/>
      <c r="AF315" s="36">
        <v>0</v>
      </c>
      <c r="AG315" s="36">
        <v>0</v>
      </c>
      <c r="AH315" s="36">
        <v>0</v>
      </c>
      <c r="AI315" s="36">
        <v>0</v>
      </c>
      <c r="AJ315" s="37">
        <v>3</v>
      </c>
      <c r="AK315" s="38">
        <v>385.13883000000004</v>
      </c>
      <c r="AL315" s="39">
        <v>156</v>
      </c>
      <c r="AM315" s="32">
        <v>438</v>
      </c>
      <c r="AN315" s="39"/>
      <c r="AO315" s="39"/>
      <c r="AP315" s="39"/>
      <c r="AQ315" s="30"/>
      <c r="AR315" s="26"/>
      <c r="AS315" s="1"/>
    </row>
    <row r="316" spans="1:45" ht="15">
      <c r="A316" s="61">
        <v>20</v>
      </c>
      <c r="B316" s="61">
        <v>20</v>
      </c>
      <c r="C316" s="61"/>
      <c r="D316" s="61"/>
      <c r="E316" s="61" t="s">
        <v>250</v>
      </c>
      <c r="F316" s="29" t="s">
        <v>252</v>
      </c>
      <c r="G316" s="29">
        <v>96</v>
      </c>
      <c r="H316" s="27"/>
      <c r="I316" s="27">
        <v>124</v>
      </c>
      <c r="J316" s="27">
        <v>160</v>
      </c>
      <c r="K316" s="27">
        <v>193</v>
      </c>
      <c r="L316" s="27"/>
      <c r="M316" s="32">
        <f t="shared" si="44"/>
        <v>477</v>
      </c>
      <c r="N316" s="32" t="s">
        <v>1330</v>
      </c>
      <c r="O316" s="32"/>
      <c r="P316" s="32">
        <f t="shared" si="45"/>
        <v>476.96899999999999</v>
      </c>
      <c r="Q316" s="32">
        <f t="shared" si="46"/>
        <v>4</v>
      </c>
      <c r="R316" s="32">
        <f t="shared" ca="1" si="47"/>
        <v>0</v>
      </c>
      <c r="S316" s="33" t="s">
        <v>79</v>
      </c>
      <c r="T316" s="34">
        <f t="shared" si="48"/>
        <v>0</v>
      </c>
      <c r="U316" s="34">
        <f t="shared" ca="1" si="49"/>
        <v>193</v>
      </c>
      <c r="V316" s="34">
        <f>-SUMPRODUCT((S$6:S315=S316)*(X$6:X315=X316))</f>
        <v>0</v>
      </c>
      <c r="W316" s="34">
        <f>-SUMPRODUCT((S$6:S315=S316)*(X$6:X315=X316)*(B$6:B315&lt;&gt;"NS"))</f>
        <v>0</v>
      </c>
      <c r="X316" s="35">
        <f t="shared" si="50"/>
        <v>477.21024</v>
      </c>
      <c r="Y316" s="27">
        <v>193</v>
      </c>
      <c r="Z316" s="27">
        <v>160</v>
      </c>
      <c r="AA316" s="27">
        <v>124</v>
      </c>
      <c r="AB316" s="29">
        <v>96</v>
      </c>
      <c r="AC316" s="27"/>
      <c r="AD316" s="27"/>
      <c r="AF316" s="36">
        <v>0</v>
      </c>
      <c r="AG316" s="36">
        <v>0</v>
      </c>
      <c r="AH316" s="36">
        <v>0</v>
      </c>
      <c r="AI316" s="36">
        <v>0</v>
      </c>
      <c r="AJ316" s="37">
        <v>3</v>
      </c>
      <c r="AK316" s="38">
        <v>380.14246000000009</v>
      </c>
      <c r="AL316" s="39">
        <v>160</v>
      </c>
      <c r="AM316" s="32">
        <v>444</v>
      </c>
      <c r="AN316" s="39"/>
      <c r="AO316" s="39"/>
      <c r="AP316" s="39"/>
      <c r="AQ316" s="30"/>
      <c r="AR316" s="26"/>
      <c r="AS316" s="1"/>
    </row>
    <row r="317" spans="1:45" ht="15">
      <c r="A317" s="61">
        <v>21</v>
      </c>
      <c r="B317" s="61">
        <v>21</v>
      </c>
      <c r="C317" s="61"/>
      <c r="D317" s="61"/>
      <c r="E317" s="61" t="s">
        <v>607</v>
      </c>
      <c r="F317" s="29" t="s">
        <v>61</v>
      </c>
      <c r="G317" s="29"/>
      <c r="H317" s="27">
        <v>223</v>
      </c>
      <c r="I317" s="27">
        <v>246</v>
      </c>
      <c r="J317" s="27"/>
      <c r="K317" s="27"/>
      <c r="L317" s="27"/>
      <c r="M317" s="32">
        <f t="shared" si="44"/>
        <v>469</v>
      </c>
      <c r="N317" s="32" t="s">
        <v>1330</v>
      </c>
      <c r="O317" s="32"/>
      <c r="P317" s="32">
        <f t="shared" si="45"/>
        <v>468.96890000000002</v>
      </c>
      <c r="Q317" s="32">
        <f t="shared" si="46"/>
        <v>2</v>
      </c>
      <c r="R317" s="32">
        <f t="shared" ca="1" si="47"/>
        <v>0</v>
      </c>
      <c r="S317" s="33" t="s">
        <v>79</v>
      </c>
      <c r="T317" s="34">
        <f t="shared" si="48"/>
        <v>0</v>
      </c>
      <c r="U317" s="34">
        <f t="shared" ca="1" si="49"/>
        <v>0</v>
      </c>
      <c r="V317" s="34">
        <f>-SUMPRODUCT((S$6:S316=S317)*(X$6:X316=X317))</f>
        <v>0</v>
      </c>
      <c r="W317" s="34">
        <f>-SUMPRODUCT((S$6:S316=S317)*(X$6:X316=X317)*(B$6:B316&lt;&gt;"NS"))</f>
        <v>0</v>
      </c>
      <c r="X317" s="35">
        <f t="shared" si="50"/>
        <v>469.26830000000001</v>
      </c>
      <c r="Y317" s="27">
        <v>246</v>
      </c>
      <c r="Z317" s="27">
        <v>223</v>
      </c>
      <c r="AA317" s="29"/>
      <c r="AB317" s="27"/>
      <c r="AC317" s="27"/>
      <c r="AD317" s="27"/>
      <c r="AF317" s="36">
        <v>0</v>
      </c>
      <c r="AG317" s="36">
        <v>0</v>
      </c>
      <c r="AH317" s="36">
        <v>0</v>
      </c>
      <c r="AI317" s="36">
        <v>0</v>
      </c>
      <c r="AJ317" s="37">
        <v>2</v>
      </c>
      <c r="AK317" s="38">
        <v>469.23829999999998</v>
      </c>
      <c r="AL317" s="39">
        <v>246</v>
      </c>
      <c r="AM317" s="32">
        <v>715</v>
      </c>
      <c r="AN317" s="39"/>
      <c r="AO317" s="39"/>
      <c r="AP317" s="39"/>
      <c r="AQ317" s="30"/>
      <c r="AR317" s="26"/>
      <c r="AS317" s="1"/>
    </row>
    <row r="318" spans="1:45" ht="15">
      <c r="A318" s="61">
        <v>22</v>
      </c>
      <c r="B318" s="61">
        <v>22</v>
      </c>
      <c r="C318" s="61"/>
      <c r="D318" s="61"/>
      <c r="E318" s="61" t="s">
        <v>608</v>
      </c>
      <c r="F318" s="29" t="s">
        <v>93</v>
      </c>
      <c r="G318" s="29"/>
      <c r="H318" s="27">
        <v>112</v>
      </c>
      <c r="I318" s="27">
        <v>148</v>
      </c>
      <c r="J318" s="27">
        <v>162</v>
      </c>
      <c r="K318" s="27"/>
      <c r="L318" s="27"/>
      <c r="M318" s="32">
        <f t="shared" si="44"/>
        <v>422</v>
      </c>
      <c r="N318" s="32" t="s">
        <v>1330</v>
      </c>
      <c r="O318" s="32"/>
      <c r="P318" s="32">
        <f t="shared" si="45"/>
        <v>421.96879999999999</v>
      </c>
      <c r="Q318" s="32">
        <f t="shared" si="46"/>
        <v>3</v>
      </c>
      <c r="R318" s="32">
        <f t="shared" ca="1" si="47"/>
        <v>0</v>
      </c>
      <c r="S318" s="33" t="s">
        <v>79</v>
      </c>
      <c r="T318" s="34">
        <f t="shared" si="48"/>
        <v>0</v>
      </c>
      <c r="U318" s="34">
        <f t="shared" ca="1" si="49"/>
        <v>0</v>
      </c>
      <c r="V318" s="34">
        <f>-SUMPRODUCT((S$6:S317=S318)*(X$6:X317=X318))</f>
        <v>0</v>
      </c>
      <c r="W318" s="34">
        <f>-SUMPRODUCT((S$6:S317=S318)*(X$6:X317=X318)*(B$6:B317&lt;&gt;"NS"))</f>
        <v>0</v>
      </c>
      <c r="X318" s="35">
        <f t="shared" si="50"/>
        <v>422.17791999999997</v>
      </c>
      <c r="Y318" s="27">
        <v>162</v>
      </c>
      <c r="Z318" s="27">
        <v>148</v>
      </c>
      <c r="AA318" s="27">
        <v>112</v>
      </c>
      <c r="AB318" s="29"/>
      <c r="AC318" s="27"/>
      <c r="AD318" s="27"/>
      <c r="AF318" s="36">
        <v>0</v>
      </c>
      <c r="AG318" s="36">
        <v>0</v>
      </c>
      <c r="AH318" s="36">
        <v>0</v>
      </c>
      <c r="AI318" s="36">
        <v>0</v>
      </c>
      <c r="AJ318" s="37">
        <v>3</v>
      </c>
      <c r="AK318" s="38">
        <v>422.14771999999999</v>
      </c>
      <c r="AL318" s="39">
        <v>162</v>
      </c>
      <c r="AM318" s="32">
        <v>472</v>
      </c>
      <c r="AN318" s="39"/>
      <c r="AO318" s="39"/>
      <c r="AP318" s="39"/>
      <c r="AQ318" s="30"/>
      <c r="AR318" s="26"/>
      <c r="AS318" s="1"/>
    </row>
    <row r="319" spans="1:45" ht="15">
      <c r="A319" s="61">
        <v>23</v>
      </c>
      <c r="B319" s="61">
        <v>23</v>
      </c>
      <c r="C319" s="61"/>
      <c r="D319" s="61"/>
      <c r="E319" s="61" t="s">
        <v>197</v>
      </c>
      <c r="F319" s="29" t="s">
        <v>118</v>
      </c>
      <c r="G319" s="29"/>
      <c r="H319" s="27"/>
      <c r="I319" s="27"/>
      <c r="J319" s="27">
        <v>200</v>
      </c>
      <c r="K319" s="27">
        <v>219</v>
      </c>
      <c r="L319" s="27"/>
      <c r="M319" s="32">
        <f t="shared" si="44"/>
        <v>419</v>
      </c>
      <c r="N319" s="32" t="s">
        <v>1330</v>
      </c>
      <c r="O319" s="32"/>
      <c r="P319" s="32">
        <f t="shared" si="45"/>
        <v>418.96870000000001</v>
      </c>
      <c r="Q319" s="32">
        <f t="shared" si="46"/>
        <v>2</v>
      </c>
      <c r="R319" s="32">
        <f t="shared" ca="1" si="47"/>
        <v>0</v>
      </c>
      <c r="S319" s="33" t="s">
        <v>79</v>
      </c>
      <c r="T319" s="34">
        <f t="shared" si="48"/>
        <v>0</v>
      </c>
      <c r="U319" s="34">
        <f t="shared" ca="1" si="49"/>
        <v>219</v>
      </c>
      <c r="V319" s="34">
        <f>-SUMPRODUCT((S$6:S318=S319)*(X$6:X318=X319))</f>
        <v>0</v>
      </c>
      <c r="W319" s="34">
        <f>-SUMPRODUCT((S$6:S318=S319)*(X$6:X318=X319)*(B$6:B318&lt;&gt;"NS"))</f>
        <v>0</v>
      </c>
      <c r="X319" s="35">
        <f t="shared" si="50"/>
        <v>419.23899999999998</v>
      </c>
      <c r="Y319" s="27">
        <v>219</v>
      </c>
      <c r="Z319" s="27">
        <v>200</v>
      </c>
      <c r="AA319" s="29"/>
      <c r="AB319" s="27"/>
      <c r="AC319" s="27"/>
      <c r="AD319" s="27"/>
      <c r="AF319" s="36">
        <v>0</v>
      </c>
      <c r="AG319" s="36">
        <v>0</v>
      </c>
      <c r="AH319" s="36">
        <v>0</v>
      </c>
      <c r="AI319" s="36">
        <v>0</v>
      </c>
      <c r="AJ319" s="37">
        <v>1</v>
      </c>
      <c r="AK319" s="38">
        <v>200.1669</v>
      </c>
      <c r="AL319" s="39">
        <v>200</v>
      </c>
      <c r="AM319" s="32">
        <v>400</v>
      </c>
      <c r="AN319" s="39"/>
      <c r="AO319" s="39"/>
      <c r="AP319" s="39"/>
      <c r="AQ319" s="30"/>
      <c r="AR319" s="26"/>
      <c r="AS319" s="1"/>
    </row>
    <row r="320" spans="1:45" ht="15">
      <c r="A320" s="61">
        <v>24</v>
      </c>
      <c r="B320" s="61">
        <v>24</v>
      </c>
      <c r="C320" s="61"/>
      <c r="D320" s="61"/>
      <c r="E320" s="61" t="s">
        <v>609</v>
      </c>
      <c r="F320" s="29" t="s">
        <v>93</v>
      </c>
      <c r="G320" s="29"/>
      <c r="H320" s="27"/>
      <c r="I320" s="27">
        <v>227</v>
      </c>
      <c r="J320" s="27">
        <v>181</v>
      </c>
      <c r="K320" s="27"/>
      <c r="L320" s="27"/>
      <c r="M320" s="32">
        <f t="shared" si="44"/>
        <v>408</v>
      </c>
      <c r="N320" s="32" t="s">
        <v>1330</v>
      </c>
      <c r="O320" s="32"/>
      <c r="P320" s="32">
        <f t="shared" si="45"/>
        <v>407.96859999999998</v>
      </c>
      <c r="Q320" s="32">
        <f t="shared" si="46"/>
        <v>2</v>
      </c>
      <c r="R320" s="32">
        <f t="shared" ca="1" si="47"/>
        <v>0</v>
      </c>
      <c r="S320" s="33" t="s">
        <v>79</v>
      </c>
      <c r="T320" s="34">
        <f t="shared" si="48"/>
        <v>0</v>
      </c>
      <c r="U320" s="34">
        <f t="shared" ca="1" si="49"/>
        <v>0</v>
      </c>
      <c r="V320" s="34">
        <f>-SUMPRODUCT((S$6:S319=S320)*(X$6:X319=X320))</f>
        <v>0</v>
      </c>
      <c r="W320" s="34">
        <f>-SUMPRODUCT((S$6:S319=S320)*(X$6:X319=X320)*(B$6:B319&lt;&gt;"NS"))</f>
        <v>0</v>
      </c>
      <c r="X320" s="35">
        <f t="shared" si="50"/>
        <v>408.24509999999998</v>
      </c>
      <c r="Y320" s="27">
        <v>227</v>
      </c>
      <c r="Z320" s="27">
        <v>181</v>
      </c>
      <c r="AA320" s="29"/>
      <c r="AB320" s="27"/>
      <c r="AC320" s="27"/>
      <c r="AD320" s="27"/>
      <c r="AF320" s="36">
        <v>0</v>
      </c>
      <c r="AG320" s="36">
        <v>0</v>
      </c>
      <c r="AH320" s="36">
        <v>0</v>
      </c>
      <c r="AI320" s="36">
        <v>0</v>
      </c>
      <c r="AJ320" s="37">
        <v>2</v>
      </c>
      <c r="AK320" s="38">
        <v>408.21479999999997</v>
      </c>
      <c r="AL320" s="39">
        <v>227</v>
      </c>
      <c r="AM320" s="32">
        <v>635</v>
      </c>
      <c r="AN320" s="39"/>
      <c r="AO320" s="39"/>
      <c r="AP320" s="39"/>
      <c r="AQ320" s="30"/>
      <c r="AR320" s="26"/>
      <c r="AS320" s="1"/>
    </row>
    <row r="321" spans="1:45" ht="15">
      <c r="A321" s="61">
        <v>25</v>
      </c>
      <c r="B321" s="61">
        <v>25</v>
      </c>
      <c r="C321" s="61"/>
      <c r="D321" s="61"/>
      <c r="E321" s="61" t="s">
        <v>610</v>
      </c>
      <c r="F321" s="29" t="s">
        <v>50</v>
      </c>
      <c r="G321" s="29">
        <v>198</v>
      </c>
      <c r="H321" s="27"/>
      <c r="I321" s="27">
        <v>209</v>
      </c>
      <c r="J321" s="27"/>
      <c r="K321" s="27"/>
      <c r="L321" s="27"/>
      <c r="M321" s="32">
        <f t="shared" si="44"/>
        <v>407</v>
      </c>
      <c r="N321" s="32" t="s">
        <v>1330</v>
      </c>
      <c r="O321" s="32"/>
      <c r="P321" s="32">
        <f t="shared" si="45"/>
        <v>406.96850000000001</v>
      </c>
      <c r="Q321" s="32">
        <f t="shared" si="46"/>
        <v>2</v>
      </c>
      <c r="R321" s="32">
        <f t="shared" ca="1" si="47"/>
        <v>0</v>
      </c>
      <c r="S321" s="33" t="s">
        <v>79</v>
      </c>
      <c r="T321" s="34">
        <f t="shared" si="48"/>
        <v>0</v>
      </c>
      <c r="U321" s="34">
        <f t="shared" ca="1" si="49"/>
        <v>0</v>
      </c>
      <c r="V321" s="34">
        <f>-SUMPRODUCT((S$6:S320=S321)*(X$6:X320=X321))</f>
        <v>0</v>
      </c>
      <c r="W321" s="34">
        <f>-SUMPRODUCT((S$6:S320=S321)*(X$6:X320=X321)*(B$6:B320&lt;&gt;"NS"))</f>
        <v>0</v>
      </c>
      <c r="X321" s="35">
        <f t="shared" si="50"/>
        <v>407.22879999999998</v>
      </c>
      <c r="Y321" s="27">
        <v>209</v>
      </c>
      <c r="Z321" s="29">
        <v>198</v>
      </c>
      <c r="AA321" s="27"/>
      <c r="AB321" s="27"/>
      <c r="AC321" s="27"/>
      <c r="AD321" s="27"/>
      <c r="AF321" s="36">
        <v>0</v>
      </c>
      <c r="AG321" s="36">
        <v>0</v>
      </c>
      <c r="AH321" s="36">
        <v>0</v>
      </c>
      <c r="AI321" s="36">
        <v>0</v>
      </c>
      <c r="AJ321" s="37">
        <v>2</v>
      </c>
      <c r="AK321" s="38">
        <v>407.19839999999999</v>
      </c>
      <c r="AL321" s="39">
        <v>209</v>
      </c>
      <c r="AM321" s="32">
        <v>616</v>
      </c>
      <c r="AN321" s="39"/>
      <c r="AO321" s="39"/>
      <c r="AP321" s="39"/>
      <c r="AQ321" s="30"/>
      <c r="AR321" s="26"/>
      <c r="AS321" s="1"/>
    </row>
    <row r="322" spans="1:45" ht="15">
      <c r="A322" s="61">
        <v>26</v>
      </c>
      <c r="B322" s="61">
        <v>26</v>
      </c>
      <c r="C322" s="61"/>
      <c r="D322" s="61"/>
      <c r="E322" s="61" t="s">
        <v>304</v>
      </c>
      <c r="F322" s="29" t="s">
        <v>69</v>
      </c>
      <c r="G322" s="29">
        <v>54</v>
      </c>
      <c r="H322" s="27">
        <v>57</v>
      </c>
      <c r="I322" s="27">
        <v>101</v>
      </c>
      <c r="J322" s="27">
        <v>129</v>
      </c>
      <c r="K322" s="27">
        <v>167</v>
      </c>
      <c r="L322" s="27"/>
      <c r="M322" s="32">
        <f t="shared" si="44"/>
        <v>397</v>
      </c>
      <c r="N322" s="32" t="s">
        <v>1330</v>
      </c>
      <c r="O322" s="32"/>
      <c r="P322" s="32">
        <f t="shared" si="45"/>
        <v>396.96839999999997</v>
      </c>
      <c r="Q322" s="32">
        <f t="shared" si="46"/>
        <v>5</v>
      </c>
      <c r="R322" s="32">
        <f t="shared" ca="1" si="47"/>
        <v>0</v>
      </c>
      <c r="S322" s="33" t="s">
        <v>79</v>
      </c>
      <c r="T322" s="34">
        <f t="shared" si="48"/>
        <v>0</v>
      </c>
      <c r="U322" s="34">
        <f t="shared" ca="1" si="49"/>
        <v>167</v>
      </c>
      <c r="V322" s="34">
        <f>-SUMPRODUCT((S$6:S321=S322)*(X$6:X321=X322))</f>
        <v>0</v>
      </c>
      <c r="W322" s="34">
        <f>-SUMPRODUCT((S$6:S321=S322)*(X$6:X321=X322)*(B$6:B321&lt;&gt;"NS"))</f>
        <v>0</v>
      </c>
      <c r="X322" s="35">
        <f t="shared" si="50"/>
        <v>397.18090999999998</v>
      </c>
      <c r="Y322" s="27">
        <v>167</v>
      </c>
      <c r="Z322" s="27">
        <v>129</v>
      </c>
      <c r="AA322" s="27">
        <v>101</v>
      </c>
      <c r="AB322" s="27">
        <v>57</v>
      </c>
      <c r="AC322" s="29">
        <v>54</v>
      </c>
      <c r="AD322" s="27"/>
      <c r="AF322" s="36">
        <v>0</v>
      </c>
      <c r="AG322" s="36">
        <v>0</v>
      </c>
      <c r="AH322" s="36">
        <v>0</v>
      </c>
      <c r="AI322" s="36">
        <v>0</v>
      </c>
      <c r="AJ322" s="37">
        <v>4</v>
      </c>
      <c r="AK322" s="38">
        <v>287.10762399999999</v>
      </c>
      <c r="AL322" s="39">
        <v>129</v>
      </c>
      <c r="AM322" s="32">
        <v>359</v>
      </c>
      <c r="AN322" s="39"/>
      <c r="AO322" s="39"/>
      <c r="AP322" s="39"/>
      <c r="AQ322" s="30"/>
      <c r="AR322" s="26"/>
      <c r="AS322" s="1"/>
    </row>
    <row r="323" spans="1:45" ht="15">
      <c r="A323" s="61">
        <v>27</v>
      </c>
      <c r="B323" s="61">
        <v>27</v>
      </c>
      <c r="C323" s="61"/>
      <c r="D323" s="61"/>
      <c r="E323" s="61" t="s">
        <v>611</v>
      </c>
      <c r="F323" s="29" t="s">
        <v>252</v>
      </c>
      <c r="G323" s="29">
        <v>99</v>
      </c>
      <c r="H323" s="27">
        <v>79</v>
      </c>
      <c r="I323" s="27">
        <v>131</v>
      </c>
      <c r="J323" s="27">
        <v>165</v>
      </c>
      <c r="K323" s="27"/>
      <c r="L323" s="27"/>
      <c r="M323" s="32">
        <f t="shared" si="44"/>
        <v>395</v>
      </c>
      <c r="N323" s="32" t="s">
        <v>1330</v>
      </c>
      <c r="O323" s="32"/>
      <c r="P323" s="32">
        <f t="shared" si="45"/>
        <v>394.9683</v>
      </c>
      <c r="Q323" s="32">
        <f t="shared" si="46"/>
        <v>4</v>
      </c>
      <c r="R323" s="32">
        <f t="shared" ca="1" si="47"/>
        <v>0</v>
      </c>
      <c r="S323" s="33" t="s">
        <v>79</v>
      </c>
      <c r="T323" s="34">
        <f t="shared" si="48"/>
        <v>0</v>
      </c>
      <c r="U323" s="34">
        <f t="shared" ca="1" si="49"/>
        <v>0</v>
      </c>
      <c r="V323" s="34">
        <f>-SUMPRODUCT((S$6:S322=S323)*(X$6:X322=X323))</f>
        <v>0</v>
      </c>
      <c r="W323" s="34">
        <f>-SUMPRODUCT((S$6:S322=S323)*(X$6:X322=X323)*(B$6:B322&lt;&gt;"NS"))</f>
        <v>0</v>
      </c>
      <c r="X323" s="35">
        <f t="shared" si="50"/>
        <v>395.17908999999997</v>
      </c>
      <c r="Y323" s="27">
        <v>165</v>
      </c>
      <c r="Z323" s="27">
        <v>131</v>
      </c>
      <c r="AA323" s="29">
        <v>99</v>
      </c>
      <c r="AB323" s="27">
        <v>79</v>
      </c>
      <c r="AC323" s="27"/>
      <c r="AD323" s="27"/>
      <c r="AF323" s="36">
        <v>0</v>
      </c>
      <c r="AG323" s="36">
        <v>0</v>
      </c>
      <c r="AH323" s="36">
        <v>0</v>
      </c>
      <c r="AI323" s="36">
        <v>0</v>
      </c>
      <c r="AJ323" s="37">
        <v>4</v>
      </c>
      <c r="AK323" s="38">
        <v>395.14866900000004</v>
      </c>
      <c r="AL323" s="39">
        <v>165</v>
      </c>
      <c r="AM323" s="32">
        <v>461</v>
      </c>
      <c r="AN323" s="39"/>
      <c r="AO323" s="39"/>
      <c r="AP323" s="39"/>
      <c r="AQ323" s="30"/>
      <c r="AR323" s="26"/>
      <c r="AS323" s="1"/>
    </row>
    <row r="324" spans="1:45" ht="15">
      <c r="A324" s="61">
        <v>28</v>
      </c>
      <c r="B324" s="61">
        <v>28</v>
      </c>
      <c r="C324" s="61"/>
      <c r="D324" s="61"/>
      <c r="E324" s="61" t="s">
        <v>612</v>
      </c>
      <c r="F324" s="29" t="s">
        <v>25</v>
      </c>
      <c r="G324" s="29">
        <v>71</v>
      </c>
      <c r="H324" s="27">
        <v>89</v>
      </c>
      <c r="I324" s="27">
        <v>129</v>
      </c>
      <c r="J324" s="27">
        <v>175</v>
      </c>
      <c r="K324" s="27"/>
      <c r="L324" s="27"/>
      <c r="M324" s="32">
        <f t="shared" si="44"/>
        <v>393</v>
      </c>
      <c r="N324" s="32" t="s">
        <v>1330</v>
      </c>
      <c r="O324" s="32"/>
      <c r="P324" s="32">
        <f t="shared" si="45"/>
        <v>392.96820000000002</v>
      </c>
      <c r="Q324" s="32">
        <f t="shared" si="46"/>
        <v>4</v>
      </c>
      <c r="R324" s="32">
        <f t="shared" ca="1" si="47"/>
        <v>0</v>
      </c>
      <c r="S324" s="33" t="s">
        <v>79</v>
      </c>
      <c r="T324" s="34">
        <f t="shared" si="48"/>
        <v>0</v>
      </c>
      <c r="U324" s="34">
        <f t="shared" ca="1" si="49"/>
        <v>0</v>
      </c>
      <c r="V324" s="34">
        <f>-SUMPRODUCT((S$6:S323=S324)*(X$6:X323=X324))</f>
        <v>0</v>
      </c>
      <c r="W324" s="34">
        <f>-SUMPRODUCT((S$6:S323=S324)*(X$6:X323=X324)*(B$6:B323&lt;&gt;"NS"))</f>
        <v>0</v>
      </c>
      <c r="X324" s="35">
        <f t="shared" si="50"/>
        <v>393.18878999999998</v>
      </c>
      <c r="Y324" s="27">
        <v>175</v>
      </c>
      <c r="Z324" s="27">
        <v>129</v>
      </c>
      <c r="AA324" s="27">
        <v>89</v>
      </c>
      <c r="AB324" s="29">
        <v>71</v>
      </c>
      <c r="AC324" s="27"/>
      <c r="AD324" s="27"/>
      <c r="AF324" s="36">
        <v>0</v>
      </c>
      <c r="AG324" s="36">
        <v>0</v>
      </c>
      <c r="AH324" s="36">
        <v>0</v>
      </c>
      <c r="AI324" s="36">
        <v>0</v>
      </c>
      <c r="AJ324" s="37">
        <v>4</v>
      </c>
      <c r="AK324" s="38">
        <v>393.15826100000004</v>
      </c>
      <c r="AL324" s="39">
        <v>175</v>
      </c>
      <c r="AM324" s="32">
        <v>479</v>
      </c>
      <c r="AN324" s="39"/>
      <c r="AO324" s="39"/>
      <c r="AP324" s="39"/>
      <c r="AQ324" s="30"/>
      <c r="AR324" s="26"/>
      <c r="AS324" s="1"/>
    </row>
    <row r="325" spans="1:45" ht="15">
      <c r="A325" s="61">
        <v>29</v>
      </c>
      <c r="B325" s="61" t="s">
        <v>111</v>
      </c>
      <c r="C325" s="61"/>
      <c r="D325" s="61"/>
      <c r="E325" s="61" t="s">
        <v>321</v>
      </c>
      <c r="F325" s="29" t="s">
        <v>201</v>
      </c>
      <c r="G325" s="29">
        <v>32</v>
      </c>
      <c r="H325" s="27"/>
      <c r="I325" s="27">
        <v>88</v>
      </c>
      <c r="J325" s="27">
        <v>119</v>
      </c>
      <c r="K325" s="27">
        <v>160</v>
      </c>
      <c r="L325" s="27"/>
      <c r="M325" s="32">
        <f t="shared" si="44"/>
        <v>367</v>
      </c>
      <c r="N325" s="32" t="s">
        <v>1331</v>
      </c>
      <c r="O325" s="32"/>
      <c r="P325" s="32">
        <f t="shared" si="45"/>
        <v>366.96809999999999</v>
      </c>
      <c r="Q325" s="32">
        <f t="shared" si="46"/>
        <v>4</v>
      </c>
      <c r="R325" s="32">
        <f t="shared" ca="1" si="47"/>
        <v>0</v>
      </c>
      <c r="S325" s="33" t="s">
        <v>79</v>
      </c>
      <c r="T325" s="34">
        <f t="shared" si="48"/>
        <v>0</v>
      </c>
      <c r="U325" s="34">
        <f t="shared" ca="1" si="49"/>
        <v>160</v>
      </c>
      <c r="V325" s="34">
        <f>-SUMPRODUCT((S$6:S324=S325)*(X$6:X324=X325))</f>
        <v>0</v>
      </c>
      <c r="W325" s="34">
        <f>-SUMPRODUCT((S$6:S324=S325)*(X$6:X324=X325)*(B$6:B324&lt;&gt;"NS"))</f>
        <v>0</v>
      </c>
      <c r="X325" s="35">
        <f t="shared" si="50"/>
        <v>367.17277999999999</v>
      </c>
      <c r="Y325" s="27">
        <v>160</v>
      </c>
      <c r="Z325" s="27">
        <v>119</v>
      </c>
      <c r="AA325" s="27">
        <v>88</v>
      </c>
      <c r="AB325" s="29">
        <v>32</v>
      </c>
      <c r="AC325" s="27"/>
      <c r="AD325" s="27"/>
      <c r="AF325" s="36">
        <v>0</v>
      </c>
      <c r="AG325" s="36">
        <v>0</v>
      </c>
      <c r="AH325" s="36">
        <v>0</v>
      </c>
      <c r="AI325" s="36">
        <v>0</v>
      </c>
      <c r="AJ325" s="37">
        <v>3</v>
      </c>
      <c r="AK325" s="38">
        <v>239.09551999999999</v>
      </c>
      <c r="AL325" s="39">
        <v>119</v>
      </c>
      <c r="AM325" s="32">
        <v>0</v>
      </c>
      <c r="AN325" s="39"/>
      <c r="AO325" s="39"/>
      <c r="AP325" s="39"/>
      <c r="AQ325" s="30"/>
      <c r="AR325" s="26"/>
      <c r="AS325" s="1"/>
    </row>
    <row r="326" spans="1:45" ht="15">
      <c r="A326" s="61">
        <v>30</v>
      </c>
      <c r="B326" s="61">
        <v>29</v>
      </c>
      <c r="C326" s="61"/>
      <c r="D326" s="61"/>
      <c r="E326" s="61" t="s">
        <v>333</v>
      </c>
      <c r="F326" s="29" t="s">
        <v>76</v>
      </c>
      <c r="G326" s="29">
        <v>34</v>
      </c>
      <c r="H326" s="27">
        <v>48</v>
      </c>
      <c r="I326" s="27">
        <v>85</v>
      </c>
      <c r="J326" s="27">
        <v>124</v>
      </c>
      <c r="K326" s="27">
        <v>156</v>
      </c>
      <c r="L326" s="27"/>
      <c r="M326" s="32">
        <f t="shared" si="44"/>
        <v>365</v>
      </c>
      <c r="N326" s="32" t="s">
        <v>1330</v>
      </c>
      <c r="O326" s="32"/>
      <c r="P326" s="32">
        <f t="shared" si="45"/>
        <v>364.96800000000002</v>
      </c>
      <c r="Q326" s="32">
        <f t="shared" si="46"/>
        <v>5</v>
      </c>
      <c r="R326" s="32">
        <f t="shared" ca="1" si="47"/>
        <v>0</v>
      </c>
      <c r="S326" s="33" t="s">
        <v>79</v>
      </c>
      <c r="T326" s="34">
        <f t="shared" si="48"/>
        <v>0</v>
      </c>
      <c r="U326" s="34">
        <f t="shared" ca="1" si="49"/>
        <v>156</v>
      </c>
      <c r="V326" s="34">
        <f>-SUMPRODUCT((S$6:S325=S326)*(X$6:X325=X326))</f>
        <v>0</v>
      </c>
      <c r="W326" s="34">
        <f>-SUMPRODUCT((S$6:S325=S326)*(X$6:X325=X326)*(B$6:B325&lt;&gt;"NS"))</f>
        <v>0</v>
      </c>
      <c r="X326" s="35">
        <f t="shared" si="50"/>
        <v>365.16924999999998</v>
      </c>
      <c r="Y326" s="27">
        <v>156</v>
      </c>
      <c r="Z326" s="27">
        <v>124</v>
      </c>
      <c r="AA326" s="27">
        <v>85</v>
      </c>
      <c r="AB326" s="27">
        <v>48</v>
      </c>
      <c r="AC326" s="29">
        <v>34</v>
      </c>
      <c r="AD326" s="27"/>
      <c r="AF326" s="36">
        <v>0</v>
      </c>
      <c r="AG326" s="36">
        <v>0</v>
      </c>
      <c r="AH326" s="36">
        <v>0</v>
      </c>
      <c r="AI326" s="36">
        <v>0</v>
      </c>
      <c r="AJ326" s="37">
        <v>4</v>
      </c>
      <c r="AK326" s="38">
        <v>257.10051400000003</v>
      </c>
      <c r="AL326" s="39">
        <v>124</v>
      </c>
      <c r="AM326" s="32">
        <v>333</v>
      </c>
      <c r="AN326" s="39"/>
      <c r="AO326" s="39"/>
      <c r="AP326" s="39"/>
      <c r="AQ326" s="30"/>
      <c r="AR326" s="26"/>
      <c r="AS326" s="1"/>
    </row>
    <row r="327" spans="1:45" ht="15">
      <c r="A327" s="61">
        <v>31</v>
      </c>
      <c r="B327" s="61">
        <v>30</v>
      </c>
      <c r="C327" s="61"/>
      <c r="D327" s="61"/>
      <c r="E327" s="61" t="s">
        <v>613</v>
      </c>
      <c r="F327" s="29" t="s">
        <v>38</v>
      </c>
      <c r="G327" s="29">
        <v>109</v>
      </c>
      <c r="H327" s="27">
        <v>96</v>
      </c>
      <c r="I327" s="27"/>
      <c r="J327" s="27">
        <v>155</v>
      </c>
      <c r="K327" s="27"/>
      <c r="L327" s="27"/>
      <c r="M327" s="32">
        <f t="shared" si="44"/>
        <v>360</v>
      </c>
      <c r="N327" s="32" t="s">
        <v>1330</v>
      </c>
      <c r="O327" s="32"/>
      <c r="P327" s="32">
        <f t="shared" si="45"/>
        <v>359.96789999999999</v>
      </c>
      <c r="Q327" s="32">
        <f t="shared" si="46"/>
        <v>3</v>
      </c>
      <c r="R327" s="32">
        <f t="shared" ca="1" si="47"/>
        <v>0</v>
      </c>
      <c r="S327" s="33" t="s">
        <v>79</v>
      </c>
      <c r="T327" s="34">
        <f t="shared" si="48"/>
        <v>0</v>
      </c>
      <c r="U327" s="34">
        <f t="shared" ca="1" si="49"/>
        <v>0</v>
      </c>
      <c r="V327" s="34">
        <f>-SUMPRODUCT((S$6:S326=S327)*(X$6:X326=X327))</f>
        <v>0</v>
      </c>
      <c r="W327" s="34">
        <f>-SUMPRODUCT((S$6:S326=S327)*(X$6:X326=X327)*(B$6:B326&lt;&gt;"NS"))</f>
        <v>0</v>
      </c>
      <c r="X327" s="35">
        <f t="shared" si="50"/>
        <v>360.16685999999999</v>
      </c>
      <c r="Y327" s="27">
        <v>155</v>
      </c>
      <c r="Z327" s="29">
        <v>109</v>
      </c>
      <c r="AA327" s="27">
        <v>96</v>
      </c>
      <c r="AB327" s="27"/>
      <c r="AC327" s="27"/>
      <c r="AD327" s="27"/>
      <c r="AF327" s="36" t="s">
        <v>1339</v>
      </c>
      <c r="AG327" s="36">
        <v>0</v>
      </c>
      <c r="AH327" s="36">
        <v>0</v>
      </c>
      <c r="AI327" s="36">
        <v>0</v>
      </c>
      <c r="AJ327" s="37">
        <v>3</v>
      </c>
      <c r="AK327" s="38">
        <v>360.13585999999998</v>
      </c>
      <c r="AL327" s="39">
        <v>155</v>
      </c>
      <c r="AM327" s="32">
        <v>419</v>
      </c>
      <c r="AN327" s="39"/>
      <c r="AO327" s="39"/>
      <c r="AP327" s="39"/>
      <c r="AQ327" s="30"/>
      <c r="AR327" s="26"/>
      <c r="AS327" s="1"/>
    </row>
    <row r="328" spans="1:45" ht="15">
      <c r="A328" s="61">
        <v>32</v>
      </c>
      <c r="B328" s="61">
        <v>31</v>
      </c>
      <c r="C328" s="61"/>
      <c r="D328" s="61"/>
      <c r="E328" s="61" t="s">
        <v>614</v>
      </c>
      <c r="F328" s="29" t="s">
        <v>412</v>
      </c>
      <c r="G328" s="29">
        <v>195</v>
      </c>
      <c r="H328" s="27">
        <v>164</v>
      </c>
      <c r="I328" s="27"/>
      <c r="J328" s="27"/>
      <c r="K328" s="27"/>
      <c r="L328" s="27"/>
      <c r="M328" s="32">
        <f t="shared" si="44"/>
        <v>359</v>
      </c>
      <c r="N328" s="32" t="s">
        <v>1330</v>
      </c>
      <c r="O328" s="32"/>
      <c r="P328" s="32">
        <f t="shared" si="45"/>
        <v>358.96780000000001</v>
      </c>
      <c r="Q328" s="32">
        <f t="shared" si="46"/>
        <v>2</v>
      </c>
      <c r="R328" s="32">
        <f t="shared" ca="1" si="47"/>
        <v>0</v>
      </c>
      <c r="S328" s="33" t="s">
        <v>79</v>
      </c>
      <c r="T328" s="34">
        <f t="shared" si="48"/>
        <v>0</v>
      </c>
      <c r="U328" s="34">
        <f t="shared" ca="1" si="49"/>
        <v>0</v>
      </c>
      <c r="V328" s="34">
        <f>-SUMPRODUCT((S$6:S327=S328)*(X$6:X327=X328))</f>
        <v>0</v>
      </c>
      <c r="W328" s="34">
        <f>-SUMPRODUCT((S$6:S327=S328)*(X$6:X327=X328)*(B$6:B327&lt;&gt;"NS"))</f>
        <v>0</v>
      </c>
      <c r="X328" s="35">
        <f t="shared" si="50"/>
        <v>359.21140000000003</v>
      </c>
      <c r="Y328" s="29">
        <v>195</v>
      </c>
      <c r="Z328" s="27">
        <v>164</v>
      </c>
      <c r="AA328" s="27"/>
      <c r="AB328" s="27"/>
      <c r="AC328" s="27"/>
      <c r="AD328" s="27"/>
      <c r="AF328" s="36">
        <v>0</v>
      </c>
      <c r="AG328" s="36">
        <v>0</v>
      </c>
      <c r="AH328" s="36">
        <v>0</v>
      </c>
      <c r="AI328" s="36">
        <v>0</v>
      </c>
      <c r="AJ328" s="37">
        <v>2</v>
      </c>
      <c r="AK328" s="38">
        <v>359.18029999999999</v>
      </c>
      <c r="AL328" s="39">
        <v>195</v>
      </c>
      <c r="AM328" s="32">
        <v>554</v>
      </c>
      <c r="AN328" s="39"/>
      <c r="AO328" s="39"/>
      <c r="AP328" s="39"/>
      <c r="AQ328" s="30"/>
      <c r="AR328" s="26"/>
      <c r="AS328" s="1"/>
    </row>
    <row r="329" spans="1:45" ht="15">
      <c r="A329" s="61">
        <v>33</v>
      </c>
      <c r="B329" s="61">
        <v>32</v>
      </c>
      <c r="C329" s="61"/>
      <c r="D329" s="61"/>
      <c r="E329" s="61" t="s">
        <v>615</v>
      </c>
      <c r="F329" s="29" t="s">
        <v>84</v>
      </c>
      <c r="G329" s="29">
        <v>143</v>
      </c>
      <c r="H329" s="27"/>
      <c r="I329" s="27"/>
      <c r="J329" s="27">
        <v>210</v>
      </c>
      <c r="K329" s="27"/>
      <c r="L329" s="27"/>
      <c r="M329" s="32">
        <f t="shared" si="44"/>
        <v>353</v>
      </c>
      <c r="N329" s="32" t="s">
        <v>1330</v>
      </c>
      <c r="O329" s="32"/>
      <c r="P329" s="32">
        <f t="shared" si="45"/>
        <v>352.96769999999998</v>
      </c>
      <c r="Q329" s="32">
        <f t="shared" si="46"/>
        <v>2</v>
      </c>
      <c r="R329" s="32">
        <f t="shared" ca="1" si="47"/>
        <v>0</v>
      </c>
      <c r="S329" s="33" t="s">
        <v>79</v>
      </c>
      <c r="T329" s="34">
        <f t="shared" si="48"/>
        <v>0</v>
      </c>
      <c r="U329" s="34">
        <f t="shared" ca="1" si="49"/>
        <v>0</v>
      </c>
      <c r="V329" s="34">
        <f>-SUMPRODUCT((S$6:S328=S329)*(X$6:X328=X329))</f>
        <v>0</v>
      </c>
      <c r="W329" s="34">
        <f>-SUMPRODUCT((S$6:S328=S329)*(X$6:X328=X329)*(B$6:B328&lt;&gt;"NS"))</f>
        <v>0</v>
      </c>
      <c r="X329" s="35">
        <f t="shared" si="50"/>
        <v>353.22430000000003</v>
      </c>
      <c r="Y329" s="27">
        <v>210</v>
      </c>
      <c r="Z329" s="29">
        <v>143</v>
      </c>
      <c r="AA329" s="27"/>
      <c r="AB329" s="27"/>
      <c r="AC329" s="27"/>
      <c r="AD329" s="27"/>
      <c r="AF329" s="36">
        <v>0</v>
      </c>
      <c r="AG329" s="36">
        <v>0</v>
      </c>
      <c r="AH329" s="36">
        <v>0</v>
      </c>
      <c r="AI329" s="36">
        <v>0</v>
      </c>
      <c r="AJ329" s="37">
        <v>2</v>
      </c>
      <c r="AK329" s="38">
        <v>353.19309999999996</v>
      </c>
      <c r="AL329" s="39">
        <v>210</v>
      </c>
      <c r="AM329" s="32">
        <v>563</v>
      </c>
      <c r="AN329" s="39"/>
      <c r="AO329" s="39"/>
      <c r="AP329" s="39"/>
      <c r="AQ329" s="30"/>
      <c r="AR329" s="26"/>
      <c r="AS329" s="1"/>
    </row>
    <row r="330" spans="1:45" ht="15">
      <c r="A330" s="61">
        <v>34</v>
      </c>
      <c r="B330" s="61">
        <v>33</v>
      </c>
      <c r="C330" s="61"/>
      <c r="D330" s="61"/>
      <c r="E330" s="61" t="s">
        <v>616</v>
      </c>
      <c r="F330" s="29" t="s">
        <v>61</v>
      </c>
      <c r="G330" s="29">
        <v>171</v>
      </c>
      <c r="H330" s="27">
        <v>180</v>
      </c>
      <c r="I330" s="27"/>
      <c r="J330" s="27"/>
      <c r="K330" s="27"/>
      <c r="L330" s="27"/>
      <c r="M330" s="32">
        <f t="shared" si="44"/>
        <v>351</v>
      </c>
      <c r="N330" s="32" t="s">
        <v>1330</v>
      </c>
      <c r="O330" s="32"/>
      <c r="P330" s="32">
        <f t="shared" si="45"/>
        <v>350.9676</v>
      </c>
      <c r="Q330" s="32">
        <f t="shared" si="46"/>
        <v>2</v>
      </c>
      <c r="R330" s="32">
        <f t="shared" ca="1" si="47"/>
        <v>0</v>
      </c>
      <c r="S330" s="33" t="s">
        <v>79</v>
      </c>
      <c r="T330" s="34">
        <f t="shared" si="48"/>
        <v>0</v>
      </c>
      <c r="U330" s="34">
        <f t="shared" ca="1" si="49"/>
        <v>0</v>
      </c>
      <c r="V330" s="34">
        <f>-SUMPRODUCT((S$6:S329=S330)*(X$6:X329=X330))</f>
        <v>0</v>
      </c>
      <c r="W330" s="34">
        <f>-SUMPRODUCT((S$6:S329=S330)*(X$6:X329=X330)*(B$6:B329&lt;&gt;"NS"))</f>
        <v>0</v>
      </c>
      <c r="X330" s="35">
        <f t="shared" si="50"/>
        <v>351.19709999999998</v>
      </c>
      <c r="Y330" s="27">
        <v>180</v>
      </c>
      <c r="Z330" s="29">
        <v>171</v>
      </c>
      <c r="AA330" s="27"/>
      <c r="AB330" s="27"/>
      <c r="AC330" s="27"/>
      <c r="AD330" s="27"/>
      <c r="AF330" s="36">
        <v>0</v>
      </c>
      <c r="AG330" s="36">
        <v>0</v>
      </c>
      <c r="AH330" s="36">
        <v>0</v>
      </c>
      <c r="AI330" s="36">
        <v>0</v>
      </c>
      <c r="AJ330" s="37">
        <v>2</v>
      </c>
      <c r="AK330" s="38">
        <v>351.16580000000005</v>
      </c>
      <c r="AL330" s="39">
        <v>180</v>
      </c>
      <c r="AM330" s="32">
        <v>531</v>
      </c>
      <c r="AN330" s="39"/>
      <c r="AO330" s="39"/>
      <c r="AP330" s="39"/>
      <c r="AQ330" s="30"/>
      <c r="AR330" s="26"/>
      <c r="AS330" s="1"/>
    </row>
    <row r="331" spans="1:45" ht="15">
      <c r="A331" s="61">
        <v>35</v>
      </c>
      <c r="B331" s="61">
        <v>34</v>
      </c>
      <c r="C331" s="61"/>
      <c r="D331" s="61"/>
      <c r="E331" s="61" t="s">
        <v>617</v>
      </c>
      <c r="F331" s="29" t="s">
        <v>76</v>
      </c>
      <c r="G331" s="29">
        <v>83</v>
      </c>
      <c r="H331" s="27">
        <v>93</v>
      </c>
      <c r="I331" s="27"/>
      <c r="J331" s="27">
        <v>164</v>
      </c>
      <c r="K331" s="27"/>
      <c r="L331" s="27"/>
      <c r="M331" s="32">
        <f t="shared" si="44"/>
        <v>340</v>
      </c>
      <c r="N331" s="32" t="s">
        <v>1330</v>
      </c>
      <c r="O331" s="32"/>
      <c r="P331" s="32">
        <f t="shared" si="45"/>
        <v>339.96749999999997</v>
      </c>
      <c r="Q331" s="32">
        <f t="shared" si="46"/>
        <v>3</v>
      </c>
      <c r="R331" s="32">
        <f t="shared" ca="1" si="47"/>
        <v>0</v>
      </c>
      <c r="S331" s="33" t="s">
        <v>79</v>
      </c>
      <c r="T331" s="34">
        <f t="shared" si="48"/>
        <v>0</v>
      </c>
      <c r="U331" s="34">
        <f t="shared" ca="1" si="49"/>
        <v>0</v>
      </c>
      <c r="V331" s="34">
        <f>-SUMPRODUCT((S$6:S330=S331)*(X$6:X330=X331))</f>
        <v>0</v>
      </c>
      <c r="W331" s="34">
        <f>-SUMPRODUCT((S$6:S330=S331)*(X$6:X330=X331)*(B$6:B330&lt;&gt;"NS"))</f>
        <v>0</v>
      </c>
      <c r="X331" s="35">
        <f t="shared" si="50"/>
        <v>340.17412999999999</v>
      </c>
      <c r="Y331" s="27">
        <v>164</v>
      </c>
      <c r="Z331" s="27">
        <v>93</v>
      </c>
      <c r="AA331" s="29">
        <v>83</v>
      </c>
      <c r="AB331" s="27"/>
      <c r="AC331" s="27"/>
      <c r="AD331" s="27"/>
      <c r="AF331" s="36">
        <v>0</v>
      </c>
      <c r="AG331" s="36">
        <v>0</v>
      </c>
      <c r="AH331" s="36">
        <v>0</v>
      </c>
      <c r="AI331" s="36">
        <v>0</v>
      </c>
      <c r="AJ331" s="37">
        <v>3</v>
      </c>
      <c r="AK331" s="38">
        <v>340.14272999999997</v>
      </c>
      <c r="AL331" s="39">
        <v>164</v>
      </c>
      <c r="AM331" s="32">
        <v>421</v>
      </c>
      <c r="AN331" s="39"/>
      <c r="AO331" s="39"/>
      <c r="AP331" s="39"/>
      <c r="AQ331" s="30"/>
      <c r="AR331" s="26"/>
      <c r="AS331" s="1"/>
    </row>
    <row r="332" spans="1:45" ht="15">
      <c r="A332" s="61">
        <v>36</v>
      </c>
      <c r="B332" s="61">
        <v>35</v>
      </c>
      <c r="C332" s="61"/>
      <c r="D332" s="61"/>
      <c r="E332" s="61" t="s">
        <v>618</v>
      </c>
      <c r="F332" s="29" t="s">
        <v>25</v>
      </c>
      <c r="G332" s="29">
        <v>181</v>
      </c>
      <c r="H332" s="27">
        <v>142</v>
      </c>
      <c r="I332" s="27"/>
      <c r="J332" s="27"/>
      <c r="K332" s="27"/>
      <c r="L332" s="27"/>
      <c r="M332" s="32">
        <f t="shared" si="44"/>
        <v>323</v>
      </c>
      <c r="N332" s="32" t="s">
        <v>1330</v>
      </c>
      <c r="O332" s="32"/>
      <c r="P332" s="32">
        <f t="shared" si="45"/>
        <v>322.9674</v>
      </c>
      <c r="Q332" s="32">
        <f t="shared" si="46"/>
        <v>2</v>
      </c>
      <c r="R332" s="32">
        <f t="shared" ca="1" si="47"/>
        <v>0</v>
      </c>
      <c r="S332" s="33" t="s">
        <v>79</v>
      </c>
      <c r="T332" s="34">
        <f t="shared" si="48"/>
        <v>0</v>
      </c>
      <c r="U332" s="34">
        <f t="shared" ca="1" si="49"/>
        <v>0</v>
      </c>
      <c r="V332" s="34">
        <f>-SUMPRODUCT((S$6:S331=S332)*(X$6:X331=X332))</f>
        <v>0</v>
      </c>
      <c r="W332" s="34">
        <f>-SUMPRODUCT((S$6:S331=S332)*(X$6:X331=X332)*(B$6:B331&lt;&gt;"NS"))</f>
        <v>0</v>
      </c>
      <c r="X332" s="35">
        <f t="shared" si="50"/>
        <v>323.1952</v>
      </c>
      <c r="Y332" s="29">
        <v>181</v>
      </c>
      <c r="Z332" s="27">
        <v>142</v>
      </c>
      <c r="AA332" s="27"/>
      <c r="AB332" s="27"/>
      <c r="AC332" s="27"/>
      <c r="AD332" s="27"/>
      <c r="AF332" s="36">
        <v>0</v>
      </c>
      <c r="AG332" s="36">
        <v>0</v>
      </c>
      <c r="AH332" s="36">
        <v>0</v>
      </c>
      <c r="AI332" s="36">
        <v>0</v>
      </c>
      <c r="AJ332" s="37">
        <v>2</v>
      </c>
      <c r="AK332" s="38">
        <v>323.16359999999997</v>
      </c>
      <c r="AL332" s="39">
        <v>181</v>
      </c>
      <c r="AM332" s="32">
        <v>504</v>
      </c>
      <c r="AN332" s="39"/>
      <c r="AO332" s="39"/>
      <c r="AP332" s="39"/>
      <c r="AQ332" s="30"/>
      <c r="AR332" s="26"/>
      <c r="AS332" s="1"/>
    </row>
    <row r="333" spans="1:45" ht="15">
      <c r="A333" s="61">
        <v>37</v>
      </c>
      <c r="B333" s="61">
        <v>36</v>
      </c>
      <c r="C333" s="61"/>
      <c r="D333" s="61"/>
      <c r="E333" s="61" t="s">
        <v>619</v>
      </c>
      <c r="F333" s="29" t="s">
        <v>53</v>
      </c>
      <c r="G333" s="29"/>
      <c r="H333" s="27">
        <v>143</v>
      </c>
      <c r="I333" s="27">
        <v>177</v>
      </c>
      <c r="J333" s="27"/>
      <c r="K333" s="27"/>
      <c r="L333" s="27"/>
      <c r="M333" s="32">
        <f t="shared" si="44"/>
        <v>320</v>
      </c>
      <c r="N333" s="32" t="s">
        <v>1330</v>
      </c>
      <c r="O333" s="32"/>
      <c r="P333" s="32">
        <f t="shared" si="45"/>
        <v>319.96730000000002</v>
      </c>
      <c r="Q333" s="32">
        <f t="shared" si="46"/>
        <v>2</v>
      </c>
      <c r="R333" s="32">
        <f t="shared" ca="1" si="47"/>
        <v>0</v>
      </c>
      <c r="S333" s="33" t="s">
        <v>79</v>
      </c>
      <c r="T333" s="34">
        <f t="shared" si="48"/>
        <v>0</v>
      </c>
      <c r="U333" s="34">
        <f t="shared" ca="1" si="49"/>
        <v>0</v>
      </c>
      <c r="V333" s="34">
        <f>-SUMPRODUCT((S$6:S332=S333)*(X$6:X332=X333))</f>
        <v>0</v>
      </c>
      <c r="W333" s="34">
        <f>-SUMPRODUCT((S$6:S332=S333)*(X$6:X332=X333)*(B$6:B332&lt;&gt;"NS"))</f>
        <v>0</v>
      </c>
      <c r="X333" s="35">
        <f t="shared" si="50"/>
        <v>320.19130000000001</v>
      </c>
      <c r="Y333" s="27">
        <v>177</v>
      </c>
      <c r="Z333" s="27">
        <v>143</v>
      </c>
      <c r="AA333" s="29"/>
      <c r="AB333" s="27"/>
      <c r="AC333" s="27"/>
      <c r="AD333" s="27"/>
      <c r="AF333" s="36">
        <v>0</v>
      </c>
      <c r="AG333" s="36">
        <v>0</v>
      </c>
      <c r="AH333" s="36">
        <v>0</v>
      </c>
      <c r="AI333" s="36">
        <v>0</v>
      </c>
      <c r="AJ333" s="37">
        <v>2</v>
      </c>
      <c r="AK333" s="38">
        <v>320.15960000000001</v>
      </c>
      <c r="AL333" s="39">
        <v>177</v>
      </c>
      <c r="AM333" s="32">
        <v>497</v>
      </c>
      <c r="AN333" s="39"/>
      <c r="AO333" s="39"/>
      <c r="AP333" s="39"/>
      <c r="AQ333" s="30"/>
      <c r="AR333" s="26"/>
      <c r="AS333" s="1"/>
    </row>
    <row r="334" spans="1:45" ht="15">
      <c r="A334" s="61">
        <v>38</v>
      </c>
      <c r="B334" s="61">
        <v>37</v>
      </c>
      <c r="C334" s="61"/>
      <c r="D334" s="61"/>
      <c r="E334" s="61" t="s">
        <v>620</v>
      </c>
      <c r="F334" s="29" t="s">
        <v>61</v>
      </c>
      <c r="G334" s="29">
        <v>133</v>
      </c>
      <c r="H334" s="27">
        <v>184</v>
      </c>
      <c r="I334" s="27"/>
      <c r="J334" s="27"/>
      <c r="K334" s="27"/>
      <c r="L334" s="27"/>
      <c r="M334" s="32">
        <f t="shared" si="44"/>
        <v>317</v>
      </c>
      <c r="N334" s="32" t="s">
        <v>1330</v>
      </c>
      <c r="O334" s="32"/>
      <c r="P334" s="32">
        <f t="shared" si="45"/>
        <v>316.96719999999999</v>
      </c>
      <c r="Q334" s="32">
        <f t="shared" si="46"/>
        <v>2</v>
      </c>
      <c r="R334" s="32">
        <f t="shared" ca="1" si="47"/>
        <v>0</v>
      </c>
      <c r="S334" s="33" t="s">
        <v>79</v>
      </c>
      <c r="T334" s="34">
        <f t="shared" si="48"/>
        <v>0</v>
      </c>
      <c r="U334" s="34">
        <f t="shared" ca="1" si="49"/>
        <v>0</v>
      </c>
      <c r="V334" s="34">
        <f>-SUMPRODUCT((S$6:S333=S334)*(X$6:X333=X334))</f>
        <v>0</v>
      </c>
      <c r="W334" s="34">
        <f>-SUMPRODUCT((S$6:S333=S334)*(X$6:X333=X334)*(B$6:B333&lt;&gt;"NS"))</f>
        <v>0</v>
      </c>
      <c r="X334" s="35">
        <f t="shared" si="50"/>
        <v>317.19729999999998</v>
      </c>
      <c r="Y334" s="27">
        <v>184</v>
      </c>
      <c r="Z334" s="29">
        <v>133</v>
      </c>
      <c r="AA334" s="27"/>
      <c r="AB334" s="27"/>
      <c r="AC334" s="27"/>
      <c r="AD334" s="27"/>
      <c r="AF334" s="36">
        <v>0</v>
      </c>
      <c r="AG334" s="36">
        <v>0</v>
      </c>
      <c r="AH334" s="36">
        <v>0</v>
      </c>
      <c r="AI334" s="36">
        <v>0</v>
      </c>
      <c r="AJ334" s="37">
        <v>2</v>
      </c>
      <c r="AK334" s="38">
        <v>317.16550000000007</v>
      </c>
      <c r="AL334" s="39">
        <v>184</v>
      </c>
      <c r="AM334" s="32">
        <v>501</v>
      </c>
      <c r="AN334" s="39"/>
      <c r="AO334" s="39"/>
      <c r="AP334" s="39"/>
      <c r="AQ334" s="30"/>
      <c r="AR334" s="26"/>
      <c r="AS334" s="1"/>
    </row>
    <row r="335" spans="1:45" ht="15">
      <c r="A335" s="61">
        <v>39</v>
      </c>
      <c r="B335" s="61">
        <v>38</v>
      </c>
      <c r="C335" s="61"/>
      <c r="D335" s="61"/>
      <c r="E335" s="61" t="s">
        <v>621</v>
      </c>
      <c r="F335" s="29" t="s">
        <v>47</v>
      </c>
      <c r="G335" s="29">
        <v>59</v>
      </c>
      <c r="H335" s="27"/>
      <c r="I335" s="27">
        <v>118</v>
      </c>
      <c r="J335" s="27">
        <v>140</v>
      </c>
      <c r="K335" s="27"/>
      <c r="L335" s="27"/>
      <c r="M335" s="32">
        <f t="shared" si="44"/>
        <v>317</v>
      </c>
      <c r="N335" s="32" t="s">
        <v>1330</v>
      </c>
      <c r="O335" s="32"/>
      <c r="P335" s="32">
        <f t="shared" si="45"/>
        <v>316.96710000000002</v>
      </c>
      <c r="Q335" s="32">
        <f t="shared" si="46"/>
        <v>3</v>
      </c>
      <c r="R335" s="32">
        <f t="shared" ca="1" si="47"/>
        <v>0</v>
      </c>
      <c r="S335" s="33" t="s">
        <v>79</v>
      </c>
      <c r="T335" s="34">
        <f t="shared" si="48"/>
        <v>0</v>
      </c>
      <c r="U335" s="34">
        <f t="shared" ca="1" si="49"/>
        <v>0</v>
      </c>
      <c r="V335" s="34">
        <f>-SUMPRODUCT((S$6:S334=S335)*(X$6:X334=X335))</f>
        <v>0</v>
      </c>
      <c r="W335" s="34">
        <f>-SUMPRODUCT((S$6:S334=S335)*(X$6:X334=X335)*(B$6:B334&lt;&gt;"NS"))</f>
        <v>0</v>
      </c>
      <c r="X335" s="35">
        <f t="shared" si="50"/>
        <v>317.15239000000003</v>
      </c>
      <c r="Y335" s="27">
        <v>140</v>
      </c>
      <c r="Z335" s="27">
        <v>118</v>
      </c>
      <c r="AA335" s="29">
        <v>59</v>
      </c>
      <c r="AB335" s="27"/>
      <c r="AC335" s="27"/>
      <c r="AD335" s="27"/>
      <c r="AF335" s="36">
        <v>0</v>
      </c>
      <c r="AG335" s="36">
        <v>0</v>
      </c>
      <c r="AH335" s="36">
        <v>0</v>
      </c>
      <c r="AI335" s="36">
        <v>0</v>
      </c>
      <c r="AJ335" s="37">
        <v>3</v>
      </c>
      <c r="AK335" s="38">
        <v>317.12048999999996</v>
      </c>
      <c r="AL335" s="39">
        <v>140</v>
      </c>
      <c r="AM335" s="32">
        <v>398</v>
      </c>
      <c r="AN335" s="39"/>
      <c r="AO335" s="39"/>
      <c r="AP335" s="39"/>
      <c r="AQ335" s="30"/>
      <c r="AR335" s="26"/>
      <c r="AS335" s="1"/>
    </row>
    <row r="336" spans="1:45" ht="15">
      <c r="A336" s="61">
        <v>40</v>
      </c>
      <c r="B336" s="61">
        <v>39</v>
      </c>
      <c r="C336" s="61"/>
      <c r="D336" s="61"/>
      <c r="E336" s="61" t="s">
        <v>290</v>
      </c>
      <c r="F336" s="29" t="s">
        <v>25</v>
      </c>
      <c r="G336" s="29">
        <v>39</v>
      </c>
      <c r="H336" s="27"/>
      <c r="I336" s="27">
        <v>87</v>
      </c>
      <c r="J336" s="27"/>
      <c r="K336" s="27">
        <v>175</v>
      </c>
      <c r="L336" s="27"/>
      <c r="M336" s="32">
        <f t="shared" si="44"/>
        <v>301</v>
      </c>
      <c r="N336" s="32" t="s">
        <v>1330</v>
      </c>
      <c r="O336" s="32"/>
      <c r="P336" s="32">
        <f t="shared" si="45"/>
        <v>300.96699999999998</v>
      </c>
      <c r="Q336" s="32">
        <f t="shared" si="46"/>
        <v>3</v>
      </c>
      <c r="R336" s="32">
        <f t="shared" ca="1" si="47"/>
        <v>0</v>
      </c>
      <c r="S336" s="33" t="s">
        <v>79</v>
      </c>
      <c r="T336" s="34">
        <f t="shared" si="48"/>
        <v>0</v>
      </c>
      <c r="U336" s="34">
        <f t="shared" ca="1" si="49"/>
        <v>175</v>
      </c>
      <c r="V336" s="34">
        <f>-SUMPRODUCT((S$6:S335=S336)*(X$6:X335=X336))</f>
        <v>0</v>
      </c>
      <c r="W336" s="34">
        <f>-SUMPRODUCT((S$6:S335=S336)*(X$6:X335=X336)*(B$6:B335&lt;&gt;"NS"))</f>
        <v>0</v>
      </c>
      <c r="X336" s="35">
        <f t="shared" si="50"/>
        <v>301.18409000000003</v>
      </c>
      <c r="Y336" s="27">
        <v>175</v>
      </c>
      <c r="Z336" s="27">
        <v>87</v>
      </c>
      <c r="AA336" s="29">
        <v>39</v>
      </c>
      <c r="AB336" s="27"/>
      <c r="AC336" s="27"/>
      <c r="AD336" s="27"/>
      <c r="AF336" s="36">
        <v>0</v>
      </c>
      <c r="AG336" s="36">
        <v>0</v>
      </c>
      <c r="AH336" s="36">
        <v>0</v>
      </c>
      <c r="AI336" s="36">
        <v>0</v>
      </c>
      <c r="AJ336" s="37">
        <v>2</v>
      </c>
      <c r="AK336" s="38">
        <v>126.0569</v>
      </c>
      <c r="AL336" s="39">
        <v>87</v>
      </c>
      <c r="AM336" s="32">
        <v>213</v>
      </c>
      <c r="AN336" s="39"/>
      <c r="AO336" s="39"/>
      <c r="AP336" s="39"/>
      <c r="AQ336" s="30"/>
      <c r="AR336" s="26"/>
      <c r="AS336" s="1"/>
    </row>
    <row r="337" spans="1:45" ht="15">
      <c r="A337" s="61">
        <v>41</v>
      </c>
      <c r="B337" s="61">
        <v>40</v>
      </c>
      <c r="C337" s="61"/>
      <c r="D337" s="61"/>
      <c r="E337" s="61" t="s">
        <v>622</v>
      </c>
      <c r="F337" s="29" t="s">
        <v>25</v>
      </c>
      <c r="G337" s="29">
        <v>75</v>
      </c>
      <c r="H337" s="27">
        <v>84</v>
      </c>
      <c r="I337" s="27">
        <v>138</v>
      </c>
      <c r="J337" s="27"/>
      <c r="K337" s="27"/>
      <c r="L337" s="27"/>
      <c r="M337" s="32">
        <f t="shared" si="44"/>
        <v>297</v>
      </c>
      <c r="N337" s="32" t="s">
        <v>1330</v>
      </c>
      <c r="O337" s="32"/>
      <c r="P337" s="32">
        <f t="shared" si="45"/>
        <v>296.96690000000001</v>
      </c>
      <c r="Q337" s="32">
        <f t="shared" si="46"/>
        <v>3</v>
      </c>
      <c r="R337" s="32">
        <f t="shared" ca="1" si="47"/>
        <v>0</v>
      </c>
      <c r="S337" s="33" t="s">
        <v>79</v>
      </c>
      <c r="T337" s="34">
        <f t="shared" si="48"/>
        <v>0</v>
      </c>
      <c r="U337" s="34">
        <f t="shared" ca="1" si="49"/>
        <v>0</v>
      </c>
      <c r="V337" s="34">
        <f>-SUMPRODUCT((S$6:S336=S337)*(X$6:X336=X337))</f>
        <v>0</v>
      </c>
      <c r="W337" s="34">
        <f>-SUMPRODUCT((S$6:S336=S337)*(X$6:X336=X337)*(B$6:B336&lt;&gt;"NS"))</f>
        <v>0</v>
      </c>
      <c r="X337" s="35">
        <f t="shared" si="50"/>
        <v>297.14715000000001</v>
      </c>
      <c r="Y337" s="27">
        <v>138</v>
      </c>
      <c r="Z337" s="27">
        <v>84</v>
      </c>
      <c r="AA337" s="29">
        <v>75</v>
      </c>
      <c r="AB337" s="27"/>
      <c r="AC337" s="27"/>
      <c r="AD337" s="27"/>
      <c r="AF337" s="36">
        <v>0</v>
      </c>
      <c r="AG337" s="36">
        <v>0</v>
      </c>
      <c r="AH337" s="36">
        <v>0</v>
      </c>
      <c r="AI337" s="36">
        <v>0</v>
      </c>
      <c r="AJ337" s="37">
        <v>3</v>
      </c>
      <c r="AK337" s="38">
        <v>297.11514999999997</v>
      </c>
      <c r="AL337" s="39">
        <v>138</v>
      </c>
      <c r="AM337" s="32">
        <v>360</v>
      </c>
      <c r="AN337" s="39"/>
      <c r="AO337" s="39"/>
      <c r="AP337" s="39"/>
      <c r="AQ337" s="30"/>
      <c r="AR337" s="26"/>
      <c r="AS337" s="1"/>
    </row>
    <row r="338" spans="1:45" ht="15">
      <c r="A338" s="61">
        <v>42</v>
      </c>
      <c r="B338" s="61">
        <v>41</v>
      </c>
      <c r="C338" s="61"/>
      <c r="D338" s="61"/>
      <c r="E338" s="61" t="s">
        <v>346</v>
      </c>
      <c r="F338" s="29" t="s">
        <v>84</v>
      </c>
      <c r="G338" s="29">
        <v>31</v>
      </c>
      <c r="H338" s="27">
        <v>45</v>
      </c>
      <c r="I338" s="27">
        <v>86</v>
      </c>
      <c r="J338" s="27"/>
      <c r="K338" s="27">
        <v>154</v>
      </c>
      <c r="L338" s="27"/>
      <c r="M338" s="32">
        <f t="shared" si="44"/>
        <v>285</v>
      </c>
      <c r="N338" s="32" t="s">
        <v>1330</v>
      </c>
      <c r="O338" s="32"/>
      <c r="P338" s="32">
        <f t="shared" si="45"/>
        <v>284.96679999999998</v>
      </c>
      <c r="Q338" s="32">
        <f t="shared" si="46"/>
        <v>4</v>
      </c>
      <c r="R338" s="32">
        <f t="shared" ca="1" si="47"/>
        <v>0</v>
      </c>
      <c r="S338" s="33" t="s">
        <v>79</v>
      </c>
      <c r="T338" s="34">
        <f t="shared" si="48"/>
        <v>0</v>
      </c>
      <c r="U338" s="34">
        <f t="shared" ca="1" si="49"/>
        <v>154</v>
      </c>
      <c r="V338" s="34">
        <f>-SUMPRODUCT((S$6:S337=S338)*(X$6:X337=X338))</f>
        <v>0</v>
      </c>
      <c r="W338" s="34">
        <f>-SUMPRODUCT((S$6:S337=S338)*(X$6:X337=X338)*(B$6:B337&lt;&gt;"NS"))</f>
        <v>0</v>
      </c>
      <c r="X338" s="35">
        <f t="shared" si="50"/>
        <v>285.16305</v>
      </c>
      <c r="Y338" s="27">
        <v>154</v>
      </c>
      <c r="Z338" s="27">
        <v>86</v>
      </c>
      <c r="AA338" s="27">
        <v>45</v>
      </c>
      <c r="AB338" s="29">
        <v>31</v>
      </c>
      <c r="AC338" s="27"/>
      <c r="AD338" s="27"/>
      <c r="AF338" s="36">
        <v>0</v>
      </c>
      <c r="AG338" s="36">
        <v>0</v>
      </c>
      <c r="AH338" s="36">
        <v>0</v>
      </c>
      <c r="AI338" s="36">
        <v>0</v>
      </c>
      <c r="AJ338" s="37">
        <v>3</v>
      </c>
      <c r="AK338" s="38">
        <v>162.05731000000003</v>
      </c>
      <c r="AL338" s="39">
        <v>86</v>
      </c>
      <c r="AM338" s="32">
        <v>217</v>
      </c>
      <c r="AN338" s="39"/>
      <c r="AO338" s="39"/>
      <c r="AP338" s="39"/>
      <c r="AQ338" s="30"/>
      <c r="AR338" s="26"/>
      <c r="AS338" s="1"/>
    </row>
    <row r="339" spans="1:45" ht="15">
      <c r="A339" s="61">
        <v>43</v>
      </c>
      <c r="B339" s="61">
        <v>42</v>
      </c>
      <c r="C339" s="61"/>
      <c r="D339" s="61"/>
      <c r="E339" s="61" t="s">
        <v>623</v>
      </c>
      <c r="F339" s="29" t="s">
        <v>25</v>
      </c>
      <c r="G339" s="29"/>
      <c r="H339" s="27">
        <v>127</v>
      </c>
      <c r="I339" s="27">
        <v>143</v>
      </c>
      <c r="J339" s="27"/>
      <c r="K339" s="27"/>
      <c r="L339" s="27"/>
      <c r="M339" s="32">
        <f t="shared" si="44"/>
        <v>270</v>
      </c>
      <c r="N339" s="32" t="s">
        <v>1330</v>
      </c>
      <c r="O339" s="32"/>
      <c r="P339" s="32">
        <f t="shared" si="45"/>
        <v>269.9667</v>
      </c>
      <c r="Q339" s="32">
        <f t="shared" si="46"/>
        <v>2</v>
      </c>
      <c r="R339" s="32">
        <f t="shared" ca="1" si="47"/>
        <v>0</v>
      </c>
      <c r="S339" s="33" t="s">
        <v>79</v>
      </c>
      <c r="T339" s="34">
        <f t="shared" si="48"/>
        <v>0</v>
      </c>
      <c r="U339" s="34">
        <f t="shared" ca="1" si="49"/>
        <v>0</v>
      </c>
      <c r="V339" s="34">
        <f>-SUMPRODUCT((S$6:S338=S339)*(X$6:X338=X339))</f>
        <v>0</v>
      </c>
      <c r="W339" s="34">
        <f>-SUMPRODUCT((S$6:S338=S339)*(X$6:X338=X339)*(B$6:B338&lt;&gt;"NS"))</f>
        <v>0</v>
      </c>
      <c r="X339" s="35">
        <f t="shared" si="50"/>
        <v>270.15570000000002</v>
      </c>
      <c r="Y339" s="27">
        <v>143</v>
      </c>
      <c r="Z339" s="27">
        <v>127</v>
      </c>
      <c r="AA339" s="29"/>
      <c r="AB339" s="27"/>
      <c r="AC339" s="27"/>
      <c r="AD339" s="27"/>
      <c r="AF339" s="36">
        <v>0</v>
      </c>
      <c r="AG339" s="36">
        <v>0</v>
      </c>
      <c r="AH339" s="36">
        <v>0</v>
      </c>
      <c r="AI339" s="36">
        <v>0</v>
      </c>
      <c r="AJ339" s="37">
        <v>2</v>
      </c>
      <c r="AK339" s="38">
        <v>270.12349999999998</v>
      </c>
      <c r="AL339" s="39">
        <v>143</v>
      </c>
      <c r="AM339" s="32">
        <v>413</v>
      </c>
      <c r="AN339" s="39"/>
      <c r="AO339" s="39"/>
      <c r="AP339" s="39"/>
      <c r="AQ339" s="30"/>
      <c r="AR339" s="26"/>
      <c r="AS339" s="1"/>
    </row>
    <row r="340" spans="1:45" ht="15">
      <c r="A340" s="61">
        <v>44</v>
      </c>
      <c r="B340" s="61">
        <v>43</v>
      </c>
      <c r="C340" s="61"/>
      <c r="D340" s="61"/>
      <c r="E340" s="61" t="s">
        <v>624</v>
      </c>
      <c r="F340" s="29" t="s">
        <v>50</v>
      </c>
      <c r="G340" s="29"/>
      <c r="H340" s="27">
        <v>104</v>
      </c>
      <c r="I340" s="27">
        <v>160</v>
      </c>
      <c r="J340" s="27"/>
      <c r="K340" s="27"/>
      <c r="L340" s="27"/>
      <c r="M340" s="32">
        <f t="shared" si="44"/>
        <v>264</v>
      </c>
      <c r="N340" s="32" t="s">
        <v>1330</v>
      </c>
      <c r="O340" s="32"/>
      <c r="P340" s="32">
        <f t="shared" si="45"/>
        <v>263.96660000000003</v>
      </c>
      <c r="Q340" s="32">
        <f t="shared" si="46"/>
        <v>2</v>
      </c>
      <c r="R340" s="32">
        <f t="shared" ca="1" si="47"/>
        <v>0</v>
      </c>
      <c r="S340" s="33" t="s">
        <v>79</v>
      </c>
      <c r="T340" s="34">
        <f t="shared" si="48"/>
        <v>0</v>
      </c>
      <c r="U340" s="34">
        <f t="shared" ca="1" si="49"/>
        <v>0</v>
      </c>
      <c r="V340" s="34">
        <f>-SUMPRODUCT((S$6:S339=S340)*(X$6:X339=X340))</f>
        <v>0</v>
      </c>
      <c r="W340" s="34">
        <f>-SUMPRODUCT((S$6:S339=S340)*(X$6:X339=X340)*(B$6:B339&lt;&gt;"NS"))</f>
        <v>0</v>
      </c>
      <c r="X340" s="35">
        <f t="shared" si="50"/>
        <v>264.17039999999997</v>
      </c>
      <c r="Y340" s="27">
        <v>160</v>
      </c>
      <c r="Z340" s="27">
        <v>104</v>
      </c>
      <c r="AA340" s="29"/>
      <c r="AB340" s="27"/>
      <c r="AC340" s="27"/>
      <c r="AD340" s="27"/>
      <c r="AF340" s="36">
        <v>0</v>
      </c>
      <c r="AG340" s="36">
        <v>0</v>
      </c>
      <c r="AH340" s="36">
        <v>0</v>
      </c>
      <c r="AI340" s="36">
        <v>0</v>
      </c>
      <c r="AJ340" s="37">
        <v>2</v>
      </c>
      <c r="AK340" s="38">
        <v>264.13810000000001</v>
      </c>
      <c r="AL340" s="39">
        <v>160</v>
      </c>
      <c r="AM340" s="32">
        <v>424</v>
      </c>
      <c r="AN340" s="39"/>
      <c r="AO340" s="39"/>
      <c r="AP340" s="39"/>
      <c r="AQ340" s="30"/>
      <c r="AR340" s="26"/>
      <c r="AS340" s="1"/>
    </row>
    <row r="341" spans="1:45" ht="15">
      <c r="A341" s="61">
        <v>45</v>
      </c>
      <c r="B341" s="61">
        <v>44</v>
      </c>
      <c r="C341" s="61"/>
      <c r="D341" s="61"/>
      <c r="E341" s="61" t="s">
        <v>625</v>
      </c>
      <c r="F341" s="29" t="s">
        <v>118</v>
      </c>
      <c r="G341" s="29">
        <v>138</v>
      </c>
      <c r="H341" s="27">
        <v>121</v>
      </c>
      <c r="I341" s="27"/>
      <c r="J341" s="27"/>
      <c r="K341" s="27"/>
      <c r="L341" s="27"/>
      <c r="M341" s="32">
        <f t="shared" si="44"/>
        <v>259</v>
      </c>
      <c r="N341" s="32" t="s">
        <v>1330</v>
      </c>
      <c r="O341" s="32"/>
      <c r="P341" s="32">
        <f t="shared" si="45"/>
        <v>258.9665</v>
      </c>
      <c r="Q341" s="32">
        <f t="shared" si="46"/>
        <v>2</v>
      </c>
      <c r="R341" s="32">
        <f t="shared" ca="1" si="47"/>
        <v>0</v>
      </c>
      <c r="S341" s="33" t="s">
        <v>79</v>
      </c>
      <c r="T341" s="34">
        <f t="shared" si="48"/>
        <v>0</v>
      </c>
      <c r="U341" s="34">
        <f t="shared" ca="1" si="49"/>
        <v>0</v>
      </c>
      <c r="V341" s="34">
        <f>-SUMPRODUCT((S$6:S340=S341)*(X$6:X340=X341))</f>
        <v>0</v>
      </c>
      <c r="W341" s="34">
        <f>-SUMPRODUCT((S$6:S340=S341)*(X$6:X340=X341)*(B$6:B340&lt;&gt;"NS"))</f>
        <v>0</v>
      </c>
      <c r="X341" s="35">
        <f t="shared" si="50"/>
        <v>259.15010000000001</v>
      </c>
      <c r="Y341" s="29">
        <v>138</v>
      </c>
      <c r="Z341" s="27">
        <v>121</v>
      </c>
      <c r="AA341" s="27"/>
      <c r="AB341" s="27"/>
      <c r="AC341" s="27"/>
      <c r="AD341" s="27"/>
      <c r="AF341" s="36">
        <v>0</v>
      </c>
      <c r="AG341" s="36">
        <v>0</v>
      </c>
      <c r="AH341" s="36">
        <v>0</v>
      </c>
      <c r="AI341" s="36">
        <v>0</v>
      </c>
      <c r="AJ341" s="37">
        <v>2</v>
      </c>
      <c r="AK341" s="38">
        <v>259.11769999999996</v>
      </c>
      <c r="AL341" s="39">
        <v>138</v>
      </c>
      <c r="AM341" s="32">
        <v>397</v>
      </c>
      <c r="AN341" s="39"/>
      <c r="AO341" s="39"/>
      <c r="AP341" s="39"/>
      <c r="AQ341" s="30"/>
      <c r="AR341" s="26"/>
      <c r="AS341" s="1"/>
    </row>
    <row r="342" spans="1:45" ht="15">
      <c r="A342" s="61">
        <v>46</v>
      </c>
      <c r="B342" s="61">
        <v>45</v>
      </c>
      <c r="C342" s="61"/>
      <c r="D342" s="61"/>
      <c r="E342" s="61" t="s">
        <v>626</v>
      </c>
      <c r="F342" s="29" t="s">
        <v>50</v>
      </c>
      <c r="G342" s="29"/>
      <c r="H342" s="27"/>
      <c r="I342" s="27"/>
      <c r="J342" s="27">
        <v>234</v>
      </c>
      <c r="K342" s="27"/>
      <c r="L342" s="27"/>
      <c r="M342" s="32">
        <f t="shared" si="44"/>
        <v>234</v>
      </c>
      <c r="N342" s="32" t="s">
        <v>1330</v>
      </c>
      <c r="O342" s="32"/>
      <c r="P342" s="32">
        <f t="shared" si="45"/>
        <v>233.96639999999999</v>
      </c>
      <c r="Q342" s="32">
        <f t="shared" si="46"/>
        <v>1</v>
      </c>
      <c r="R342" s="32">
        <f t="shared" ca="1" si="47"/>
        <v>0</v>
      </c>
      <c r="S342" s="33" t="s">
        <v>79</v>
      </c>
      <c r="T342" s="34">
        <f t="shared" si="48"/>
        <v>0</v>
      </c>
      <c r="U342" s="34">
        <f t="shared" ca="1" si="49"/>
        <v>0</v>
      </c>
      <c r="V342" s="34">
        <f>-SUMPRODUCT((S$6:S341=S342)*(X$6:X341=X342))</f>
        <v>0</v>
      </c>
      <c r="W342" s="34">
        <f>-SUMPRODUCT((S$6:S341=S342)*(X$6:X341=X342)*(B$6:B341&lt;&gt;"NS"))</f>
        <v>0</v>
      </c>
      <c r="X342" s="35">
        <f t="shared" si="50"/>
        <v>234.23400000000001</v>
      </c>
      <c r="Y342" s="27">
        <v>234</v>
      </c>
      <c r="Z342" s="29"/>
      <c r="AA342" s="27"/>
      <c r="AB342" s="27"/>
      <c r="AC342" s="27"/>
      <c r="AD342" s="27"/>
      <c r="AF342" s="36">
        <v>0</v>
      </c>
      <c r="AG342" s="36">
        <v>0</v>
      </c>
      <c r="AH342" s="36">
        <v>0</v>
      </c>
      <c r="AI342" s="36">
        <v>0</v>
      </c>
      <c r="AJ342" s="37">
        <v>1</v>
      </c>
      <c r="AK342" s="38">
        <v>234.2013</v>
      </c>
      <c r="AL342" s="39">
        <v>234</v>
      </c>
      <c r="AM342" s="32">
        <v>468</v>
      </c>
      <c r="AN342" s="39"/>
      <c r="AO342" s="39"/>
      <c r="AP342" s="39"/>
      <c r="AQ342" s="30"/>
      <c r="AR342" s="26"/>
      <c r="AS342" s="1"/>
    </row>
    <row r="343" spans="1:45" ht="15">
      <c r="A343" s="61">
        <v>47</v>
      </c>
      <c r="B343" s="61">
        <v>46</v>
      </c>
      <c r="C343" s="61"/>
      <c r="D343" s="61"/>
      <c r="E343" s="61" t="s">
        <v>627</v>
      </c>
      <c r="F343" s="29" t="s">
        <v>38</v>
      </c>
      <c r="G343" s="29"/>
      <c r="H343" s="27">
        <v>92</v>
      </c>
      <c r="I343" s="27">
        <v>132</v>
      </c>
      <c r="J343" s="27"/>
      <c r="K343" s="27"/>
      <c r="L343" s="27"/>
      <c r="M343" s="32">
        <f t="shared" si="44"/>
        <v>224</v>
      </c>
      <c r="N343" s="32" t="s">
        <v>1330</v>
      </c>
      <c r="O343" s="32"/>
      <c r="P343" s="32">
        <f t="shared" si="45"/>
        <v>223.96629999999999</v>
      </c>
      <c r="Q343" s="32">
        <f t="shared" si="46"/>
        <v>2</v>
      </c>
      <c r="R343" s="32">
        <f t="shared" ca="1" si="47"/>
        <v>0</v>
      </c>
      <c r="S343" s="33" t="s">
        <v>79</v>
      </c>
      <c r="T343" s="34">
        <f t="shared" si="48"/>
        <v>0</v>
      </c>
      <c r="U343" s="34">
        <f t="shared" ca="1" si="49"/>
        <v>0</v>
      </c>
      <c r="V343" s="34">
        <f>-SUMPRODUCT((S$6:S342=S343)*(X$6:X342=X343))</f>
        <v>0</v>
      </c>
      <c r="W343" s="34">
        <f>-SUMPRODUCT((S$6:S342=S343)*(X$6:X342=X343)*(B$6:B342&lt;&gt;"NS"))</f>
        <v>0</v>
      </c>
      <c r="X343" s="35">
        <f t="shared" si="50"/>
        <v>224.1412</v>
      </c>
      <c r="Y343" s="27">
        <v>132</v>
      </c>
      <c r="Z343" s="27">
        <v>92</v>
      </c>
      <c r="AA343" s="29"/>
      <c r="AB343" s="27"/>
      <c r="AC343" s="27"/>
      <c r="AD343" s="27"/>
      <c r="AF343" s="36">
        <v>0</v>
      </c>
      <c r="AG343" s="36">
        <v>0</v>
      </c>
      <c r="AH343" s="36">
        <v>0</v>
      </c>
      <c r="AI343" s="36">
        <v>0</v>
      </c>
      <c r="AJ343" s="37">
        <v>2</v>
      </c>
      <c r="AK343" s="38">
        <v>224.10839999999999</v>
      </c>
      <c r="AL343" s="39">
        <v>132</v>
      </c>
      <c r="AM343" s="32">
        <v>356</v>
      </c>
      <c r="AN343" s="39"/>
      <c r="AO343" s="39"/>
      <c r="AP343" s="39"/>
      <c r="AQ343" s="30"/>
      <c r="AR343" s="26"/>
      <c r="AS343" s="1"/>
    </row>
    <row r="344" spans="1:45" ht="15">
      <c r="A344" s="61">
        <v>48</v>
      </c>
      <c r="B344" s="61">
        <v>47</v>
      </c>
      <c r="C344" s="61"/>
      <c r="D344" s="61"/>
      <c r="E344" s="61" t="s">
        <v>628</v>
      </c>
      <c r="F344" s="29" t="s">
        <v>50</v>
      </c>
      <c r="G344" s="29">
        <v>216</v>
      </c>
      <c r="H344" s="27"/>
      <c r="I344" s="27"/>
      <c r="J344" s="27"/>
      <c r="K344" s="27"/>
      <c r="L344" s="27"/>
      <c r="M344" s="32">
        <f t="shared" si="44"/>
        <v>216</v>
      </c>
      <c r="N344" s="32" t="s">
        <v>1330</v>
      </c>
      <c r="O344" s="32"/>
      <c r="P344" s="32">
        <f t="shared" si="45"/>
        <v>215.96619999999999</v>
      </c>
      <c r="Q344" s="32">
        <f t="shared" si="46"/>
        <v>1</v>
      </c>
      <c r="R344" s="32">
        <f t="shared" ca="1" si="47"/>
        <v>0</v>
      </c>
      <c r="S344" s="33" t="s">
        <v>79</v>
      </c>
      <c r="T344" s="34">
        <f t="shared" si="48"/>
        <v>0</v>
      </c>
      <c r="U344" s="34">
        <f t="shared" ca="1" si="49"/>
        <v>0</v>
      </c>
      <c r="V344" s="34">
        <f>-SUMPRODUCT((S$6:S343=S344)*(X$6:X343=X344))</f>
        <v>0</v>
      </c>
      <c r="W344" s="34">
        <f>-SUMPRODUCT((S$6:S343=S344)*(X$6:X343=X344)*(B$6:B343&lt;&gt;"NS"))</f>
        <v>0</v>
      </c>
      <c r="X344" s="35">
        <f t="shared" si="50"/>
        <v>216.21600000000001</v>
      </c>
      <c r="Y344" s="29">
        <v>216</v>
      </c>
      <c r="Z344" s="27"/>
      <c r="AA344" s="27"/>
      <c r="AB344" s="27"/>
      <c r="AC344" s="27"/>
      <c r="AD344" s="27"/>
      <c r="AF344" s="36">
        <v>0</v>
      </c>
      <c r="AG344" s="36">
        <v>0</v>
      </c>
      <c r="AH344" s="36">
        <v>0</v>
      </c>
      <c r="AI344" s="36">
        <v>0</v>
      </c>
      <c r="AJ344" s="37">
        <v>1</v>
      </c>
      <c r="AK344" s="38">
        <v>216.1831</v>
      </c>
      <c r="AL344" s="39">
        <v>216</v>
      </c>
      <c r="AM344" s="32">
        <v>432</v>
      </c>
      <c r="AN344" s="39"/>
      <c r="AO344" s="39"/>
      <c r="AP344" s="39"/>
      <c r="AQ344" s="30"/>
      <c r="AR344" s="26"/>
      <c r="AS344" s="1"/>
    </row>
    <row r="345" spans="1:45" ht="15">
      <c r="A345" s="61">
        <v>49</v>
      </c>
      <c r="B345" s="61">
        <v>48</v>
      </c>
      <c r="C345" s="61"/>
      <c r="D345" s="61"/>
      <c r="E345" s="61" t="s">
        <v>629</v>
      </c>
      <c r="F345" s="29" t="s">
        <v>61</v>
      </c>
      <c r="G345" s="29">
        <v>84</v>
      </c>
      <c r="H345" s="27"/>
      <c r="I345" s="27">
        <v>127</v>
      </c>
      <c r="J345" s="27"/>
      <c r="K345" s="27"/>
      <c r="L345" s="27"/>
      <c r="M345" s="32">
        <f t="shared" si="44"/>
        <v>211</v>
      </c>
      <c r="N345" s="32" t="s">
        <v>1330</v>
      </c>
      <c r="O345" s="32"/>
      <c r="P345" s="32">
        <f t="shared" si="45"/>
        <v>210.96610000000001</v>
      </c>
      <c r="Q345" s="32">
        <f t="shared" si="46"/>
        <v>2</v>
      </c>
      <c r="R345" s="32">
        <f t="shared" ca="1" si="47"/>
        <v>0</v>
      </c>
      <c r="S345" s="33" t="s">
        <v>79</v>
      </c>
      <c r="T345" s="34">
        <f t="shared" si="48"/>
        <v>0</v>
      </c>
      <c r="U345" s="34">
        <f t="shared" ca="1" si="49"/>
        <v>0</v>
      </c>
      <c r="V345" s="34">
        <f>-SUMPRODUCT((S$6:S344=S345)*(X$6:X344=X345))</f>
        <v>0</v>
      </c>
      <c r="W345" s="34">
        <f>-SUMPRODUCT((S$6:S344=S345)*(X$6:X344=X345)*(B$6:B344&lt;&gt;"NS"))</f>
        <v>0</v>
      </c>
      <c r="X345" s="35">
        <f t="shared" si="50"/>
        <v>211.1354</v>
      </c>
      <c r="Y345" s="27">
        <v>127</v>
      </c>
      <c r="Z345" s="29">
        <v>84</v>
      </c>
      <c r="AA345" s="27"/>
      <c r="AB345" s="27"/>
      <c r="AC345" s="27"/>
      <c r="AD345" s="27"/>
      <c r="AF345" s="36">
        <v>0</v>
      </c>
      <c r="AG345" s="36">
        <v>0</v>
      </c>
      <c r="AH345" s="36">
        <v>0</v>
      </c>
      <c r="AI345" s="36">
        <v>0</v>
      </c>
      <c r="AJ345" s="37">
        <v>2</v>
      </c>
      <c r="AK345" s="38">
        <v>211.10240000000002</v>
      </c>
      <c r="AL345" s="39">
        <v>127</v>
      </c>
      <c r="AM345" s="32">
        <v>338</v>
      </c>
      <c r="AN345" s="39"/>
      <c r="AO345" s="39"/>
      <c r="AP345" s="39"/>
      <c r="AQ345" s="30"/>
      <c r="AR345" s="26"/>
      <c r="AS345" s="1"/>
    </row>
    <row r="346" spans="1:45" ht="15">
      <c r="A346" s="61">
        <v>50</v>
      </c>
      <c r="B346" s="61">
        <v>49</v>
      </c>
      <c r="C346" s="61"/>
      <c r="D346" s="61"/>
      <c r="E346" s="61" t="s">
        <v>630</v>
      </c>
      <c r="F346" s="29" t="s">
        <v>162</v>
      </c>
      <c r="G346" s="29">
        <v>178</v>
      </c>
      <c r="H346" s="27"/>
      <c r="I346" s="27"/>
      <c r="J346" s="27"/>
      <c r="K346" s="27"/>
      <c r="L346" s="27"/>
      <c r="M346" s="32">
        <f t="shared" si="44"/>
        <v>178</v>
      </c>
      <c r="N346" s="32" t="s">
        <v>1330</v>
      </c>
      <c r="O346" s="32"/>
      <c r="P346" s="32">
        <f t="shared" si="45"/>
        <v>177.96600000000001</v>
      </c>
      <c r="Q346" s="32">
        <f t="shared" si="46"/>
        <v>1</v>
      </c>
      <c r="R346" s="32">
        <f t="shared" ca="1" si="47"/>
        <v>0</v>
      </c>
      <c r="S346" s="33" t="s">
        <v>79</v>
      </c>
      <c r="T346" s="34">
        <f t="shared" si="48"/>
        <v>0</v>
      </c>
      <c r="U346" s="34">
        <f t="shared" ca="1" si="49"/>
        <v>0</v>
      </c>
      <c r="V346" s="34">
        <f>-SUMPRODUCT((S$6:S345=S346)*(X$6:X345=X346))</f>
        <v>0</v>
      </c>
      <c r="W346" s="34">
        <f>-SUMPRODUCT((S$6:S345=S346)*(X$6:X345=X346)*(B$6:B345&lt;&gt;"NS"))</f>
        <v>0</v>
      </c>
      <c r="X346" s="35">
        <f t="shared" si="50"/>
        <v>178.178</v>
      </c>
      <c r="Y346" s="29">
        <v>178</v>
      </c>
      <c r="Z346" s="27"/>
      <c r="AA346" s="27"/>
      <c r="AB346" s="27"/>
      <c r="AC346" s="27"/>
      <c r="AD346" s="27"/>
      <c r="AF346" s="36">
        <v>0</v>
      </c>
      <c r="AG346" s="36">
        <v>0</v>
      </c>
      <c r="AH346" s="36">
        <v>0</v>
      </c>
      <c r="AI346" s="36">
        <v>0</v>
      </c>
      <c r="AJ346" s="37">
        <v>1</v>
      </c>
      <c r="AK346" s="38">
        <v>178.1448</v>
      </c>
      <c r="AL346" s="39">
        <v>178</v>
      </c>
      <c r="AM346" s="32">
        <v>356</v>
      </c>
      <c r="AN346" s="39"/>
      <c r="AO346" s="39"/>
      <c r="AP346" s="39"/>
      <c r="AQ346" s="30"/>
      <c r="AR346" s="26"/>
      <c r="AS346" s="1"/>
    </row>
    <row r="347" spans="1:45" ht="15">
      <c r="A347" s="61">
        <v>51</v>
      </c>
      <c r="B347" s="61">
        <v>50</v>
      </c>
      <c r="C347" s="61"/>
      <c r="D347" s="61"/>
      <c r="E347" s="61" t="s">
        <v>631</v>
      </c>
      <c r="F347" s="29" t="s">
        <v>57</v>
      </c>
      <c r="G347" s="29">
        <v>177</v>
      </c>
      <c r="H347" s="27"/>
      <c r="I347" s="27"/>
      <c r="J347" s="27"/>
      <c r="K347" s="27"/>
      <c r="L347" s="27"/>
      <c r="M347" s="32">
        <f t="shared" si="44"/>
        <v>177</v>
      </c>
      <c r="N347" s="32" t="s">
        <v>1330</v>
      </c>
      <c r="O347" s="32"/>
      <c r="P347" s="32">
        <f t="shared" si="45"/>
        <v>176.9659</v>
      </c>
      <c r="Q347" s="32">
        <f t="shared" si="46"/>
        <v>1</v>
      </c>
      <c r="R347" s="32">
        <f t="shared" ca="1" si="47"/>
        <v>0</v>
      </c>
      <c r="S347" s="33" t="s">
        <v>79</v>
      </c>
      <c r="T347" s="34">
        <f t="shared" si="48"/>
        <v>0</v>
      </c>
      <c r="U347" s="34">
        <f t="shared" ca="1" si="49"/>
        <v>0</v>
      </c>
      <c r="V347" s="34">
        <f>-SUMPRODUCT((S$6:S346=S347)*(X$6:X346=X347))</f>
        <v>0</v>
      </c>
      <c r="W347" s="34">
        <f>-SUMPRODUCT((S$6:S346=S347)*(X$6:X346=X347)*(B$6:B346&lt;&gt;"NS"))</f>
        <v>0</v>
      </c>
      <c r="X347" s="35">
        <f t="shared" si="50"/>
        <v>177.17699999999999</v>
      </c>
      <c r="Y347" s="29">
        <v>177</v>
      </c>
      <c r="Z347" s="27"/>
      <c r="AA347" s="27"/>
      <c r="AB347" s="27"/>
      <c r="AC347" s="27"/>
      <c r="AD347" s="27"/>
      <c r="AF347" s="36">
        <v>0</v>
      </c>
      <c r="AG347" s="36">
        <v>0</v>
      </c>
      <c r="AH347" s="36">
        <v>0</v>
      </c>
      <c r="AI347" s="36">
        <v>0</v>
      </c>
      <c r="AJ347" s="37">
        <v>1</v>
      </c>
      <c r="AK347" s="38">
        <v>177.1437</v>
      </c>
      <c r="AL347" s="39">
        <v>177</v>
      </c>
      <c r="AM347" s="32">
        <v>354</v>
      </c>
      <c r="AN347" s="39"/>
      <c r="AO347" s="39"/>
      <c r="AP347" s="39"/>
      <c r="AQ347" s="30"/>
      <c r="AR347" s="26"/>
      <c r="AS347" s="1"/>
    </row>
    <row r="348" spans="1:45" ht="15">
      <c r="A348" s="61">
        <v>52</v>
      </c>
      <c r="B348" s="61">
        <v>51</v>
      </c>
      <c r="C348" s="61"/>
      <c r="D348" s="61"/>
      <c r="E348" s="61" t="s">
        <v>632</v>
      </c>
      <c r="F348" s="29" t="s">
        <v>69</v>
      </c>
      <c r="G348" s="29"/>
      <c r="H348" s="27"/>
      <c r="I348" s="27">
        <v>172</v>
      </c>
      <c r="J348" s="27"/>
      <c r="K348" s="27"/>
      <c r="L348" s="27"/>
      <c r="M348" s="32">
        <f t="shared" si="44"/>
        <v>172</v>
      </c>
      <c r="N348" s="32" t="s">
        <v>1330</v>
      </c>
      <c r="O348" s="32"/>
      <c r="P348" s="32">
        <f t="shared" si="45"/>
        <v>171.9658</v>
      </c>
      <c r="Q348" s="32">
        <f t="shared" si="46"/>
        <v>1</v>
      </c>
      <c r="R348" s="32">
        <f t="shared" ca="1" si="47"/>
        <v>0</v>
      </c>
      <c r="S348" s="33" t="s">
        <v>79</v>
      </c>
      <c r="T348" s="34">
        <f t="shared" si="48"/>
        <v>0</v>
      </c>
      <c r="U348" s="34">
        <f t="shared" ca="1" si="49"/>
        <v>0</v>
      </c>
      <c r="V348" s="34">
        <f>-SUMPRODUCT((S$6:S347=S348)*(X$6:X347=X348))</f>
        <v>0</v>
      </c>
      <c r="W348" s="34">
        <f>-SUMPRODUCT((S$6:S347=S348)*(X$6:X347=X348)*(B$6:B347&lt;&gt;"NS"))</f>
        <v>0</v>
      </c>
      <c r="X348" s="35">
        <f t="shared" si="50"/>
        <v>172.172</v>
      </c>
      <c r="Y348" s="27">
        <v>172</v>
      </c>
      <c r="Z348" s="29"/>
      <c r="AA348" s="27"/>
      <c r="AB348" s="27"/>
      <c r="AC348" s="27"/>
      <c r="AD348" s="27"/>
      <c r="AF348" s="36">
        <v>0</v>
      </c>
      <c r="AG348" s="36">
        <v>0</v>
      </c>
      <c r="AH348" s="36">
        <v>0</v>
      </c>
      <c r="AI348" s="36">
        <v>0</v>
      </c>
      <c r="AJ348" s="37">
        <v>1</v>
      </c>
      <c r="AK348" s="38">
        <v>172.1386</v>
      </c>
      <c r="AL348" s="39">
        <v>172</v>
      </c>
      <c r="AM348" s="32">
        <v>344</v>
      </c>
      <c r="AN348" s="39"/>
      <c r="AO348" s="39"/>
      <c r="AP348" s="39"/>
      <c r="AQ348" s="30"/>
      <c r="AR348" s="26"/>
      <c r="AS348" s="1"/>
    </row>
    <row r="349" spans="1:45" ht="15">
      <c r="A349" s="61">
        <v>53</v>
      </c>
      <c r="B349" s="61">
        <v>52</v>
      </c>
      <c r="C349" s="61"/>
      <c r="D349" s="61"/>
      <c r="E349" s="61" t="s">
        <v>633</v>
      </c>
      <c r="F349" s="29" t="s">
        <v>88</v>
      </c>
      <c r="G349" s="29">
        <v>151</v>
      </c>
      <c r="H349" s="27"/>
      <c r="I349" s="27"/>
      <c r="J349" s="27"/>
      <c r="K349" s="27"/>
      <c r="L349" s="27"/>
      <c r="M349" s="32">
        <f t="shared" si="44"/>
        <v>151</v>
      </c>
      <c r="N349" s="32" t="s">
        <v>1330</v>
      </c>
      <c r="O349" s="32"/>
      <c r="P349" s="32">
        <f t="shared" si="45"/>
        <v>150.9657</v>
      </c>
      <c r="Q349" s="32">
        <f t="shared" si="46"/>
        <v>1</v>
      </c>
      <c r="R349" s="32">
        <f t="shared" ca="1" si="47"/>
        <v>0</v>
      </c>
      <c r="S349" s="33" t="s">
        <v>79</v>
      </c>
      <c r="T349" s="34">
        <f t="shared" si="48"/>
        <v>0</v>
      </c>
      <c r="U349" s="34">
        <f t="shared" ca="1" si="49"/>
        <v>0</v>
      </c>
      <c r="V349" s="34">
        <f>-SUMPRODUCT((S$6:S348=S349)*(X$6:X348=X349))</f>
        <v>0</v>
      </c>
      <c r="W349" s="34">
        <f>-SUMPRODUCT((S$6:S348=S349)*(X$6:X348=X349)*(B$6:B348&lt;&gt;"NS"))</f>
        <v>0</v>
      </c>
      <c r="X349" s="35">
        <f t="shared" si="50"/>
        <v>151.15100000000001</v>
      </c>
      <c r="Y349" s="29">
        <v>151</v>
      </c>
      <c r="Z349" s="27"/>
      <c r="AA349" s="27"/>
      <c r="AB349" s="27"/>
      <c r="AC349" s="27"/>
      <c r="AD349" s="27"/>
      <c r="AF349" s="36">
        <v>0</v>
      </c>
      <c r="AG349" s="36">
        <v>0</v>
      </c>
      <c r="AH349" s="36">
        <v>0</v>
      </c>
      <c r="AI349" s="36">
        <v>0</v>
      </c>
      <c r="AJ349" s="37">
        <v>1</v>
      </c>
      <c r="AK349" s="38">
        <v>151.1174</v>
      </c>
      <c r="AL349" s="39">
        <v>151</v>
      </c>
      <c r="AM349" s="32">
        <v>302</v>
      </c>
      <c r="AN349" s="39"/>
      <c r="AO349" s="39"/>
      <c r="AP349" s="39"/>
      <c r="AQ349" s="30"/>
      <c r="AR349" s="26"/>
      <c r="AS349" s="1"/>
    </row>
    <row r="350" spans="1:45" ht="15">
      <c r="A350" s="61">
        <v>54</v>
      </c>
      <c r="B350" s="61">
        <v>53</v>
      </c>
      <c r="C350" s="61"/>
      <c r="D350" s="61"/>
      <c r="E350" s="61" t="s">
        <v>634</v>
      </c>
      <c r="F350" s="29" t="s">
        <v>25</v>
      </c>
      <c r="G350" s="29"/>
      <c r="H350" s="27"/>
      <c r="I350" s="27">
        <v>149</v>
      </c>
      <c r="J350" s="27"/>
      <c r="K350" s="27"/>
      <c r="L350" s="27"/>
      <c r="M350" s="32">
        <f t="shared" si="44"/>
        <v>149</v>
      </c>
      <c r="N350" s="32" t="s">
        <v>1330</v>
      </c>
      <c r="O350" s="32"/>
      <c r="P350" s="32">
        <f t="shared" si="45"/>
        <v>148.96559999999999</v>
      </c>
      <c r="Q350" s="32">
        <f t="shared" si="46"/>
        <v>1</v>
      </c>
      <c r="R350" s="32">
        <f t="shared" ca="1" si="47"/>
        <v>0</v>
      </c>
      <c r="S350" s="33" t="s">
        <v>79</v>
      </c>
      <c r="T350" s="34">
        <f t="shared" si="48"/>
        <v>0</v>
      </c>
      <c r="U350" s="34">
        <f t="shared" ca="1" si="49"/>
        <v>0</v>
      </c>
      <c r="V350" s="34">
        <f>-SUMPRODUCT((S$6:S349=S350)*(X$6:X349=X350))</f>
        <v>0</v>
      </c>
      <c r="W350" s="34">
        <f>-SUMPRODUCT((S$6:S349=S350)*(X$6:X349=X350)*(B$6:B349&lt;&gt;"NS"))</f>
        <v>0</v>
      </c>
      <c r="X350" s="35">
        <f t="shared" si="50"/>
        <v>149.149</v>
      </c>
      <c r="Y350" s="27">
        <v>149</v>
      </c>
      <c r="Z350" s="29"/>
      <c r="AA350" s="27"/>
      <c r="AB350" s="27"/>
      <c r="AC350" s="27"/>
      <c r="AD350" s="27"/>
      <c r="AF350" s="36">
        <v>0</v>
      </c>
      <c r="AG350" s="36">
        <v>0</v>
      </c>
      <c r="AH350" s="36">
        <v>0</v>
      </c>
      <c r="AI350" s="36">
        <v>0</v>
      </c>
      <c r="AJ350" s="37">
        <v>1</v>
      </c>
      <c r="AK350" s="38">
        <v>149.11529999999999</v>
      </c>
      <c r="AL350" s="39">
        <v>149</v>
      </c>
      <c r="AM350" s="32">
        <v>298</v>
      </c>
      <c r="AN350" s="39"/>
      <c r="AO350" s="39"/>
      <c r="AP350" s="39"/>
      <c r="AQ350" s="30"/>
      <c r="AR350" s="26"/>
      <c r="AS350" s="1"/>
    </row>
    <row r="351" spans="1:45" ht="15">
      <c r="A351" s="61">
        <v>55</v>
      </c>
      <c r="B351" s="61">
        <v>54</v>
      </c>
      <c r="C351" s="61"/>
      <c r="D351" s="61"/>
      <c r="E351" s="61" t="s">
        <v>635</v>
      </c>
      <c r="F351" s="29" t="s">
        <v>485</v>
      </c>
      <c r="G351" s="29">
        <v>139</v>
      </c>
      <c r="H351" s="27"/>
      <c r="I351" s="27"/>
      <c r="J351" s="27"/>
      <c r="K351" s="27"/>
      <c r="L351" s="27"/>
      <c r="M351" s="32">
        <f t="shared" si="44"/>
        <v>139</v>
      </c>
      <c r="N351" s="32" t="s">
        <v>1330</v>
      </c>
      <c r="O351" s="32"/>
      <c r="P351" s="32">
        <f t="shared" si="45"/>
        <v>138.96549999999999</v>
      </c>
      <c r="Q351" s="32">
        <f t="shared" si="46"/>
        <v>1</v>
      </c>
      <c r="R351" s="32">
        <f t="shared" ca="1" si="47"/>
        <v>0</v>
      </c>
      <c r="S351" s="33" t="s">
        <v>79</v>
      </c>
      <c r="T351" s="34">
        <f t="shared" si="48"/>
        <v>0</v>
      </c>
      <c r="U351" s="34">
        <f t="shared" ca="1" si="49"/>
        <v>0</v>
      </c>
      <c r="V351" s="34">
        <f>-SUMPRODUCT((S$6:S350=S351)*(X$6:X350=X351))</f>
        <v>0</v>
      </c>
      <c r="W351" s="34">
        <f>-SUMPRODUCT((S$6:S350=S351)*(X$6:X350=X351)*(B$6:B350&lt;&gt;"NS"))</f>
        <v>0</v>
      </c>
      <c r="X351" s="35">
        <f t="shared" si="50"/>
        <v>139.13900000000001</v>
      </c>
      <c r="Y351" s="29">
        <v>139</v>
      </c>
      <c r="Z351" s="27"/>
      <c r="AA351" s="27"/>
      <c r="AB351" s="27"/>
      <c r="AC351" s="27"/>
      <c r="AD351" s="27"/>
      <c r="AF351" s="36">
        <v>0</v>
      </c>
      <c r="AG351" s="36">
        <v>0</v>
      </c>
      <c r="AH351" s="36">
        <v>0</v>
      </c>
      <c r="AI351" s="36">
        <v>0</v>
      </c>
      <c r="AJ351" s="37">
        <v>1</v>
      </c>
      <c r="AK351" s="38">
        <v>139.1052</v>
      </c>
      <c r="AL351" s="39">
        <v>139</v>
      </c>
      <c r="AM351" s="32">
        <v>278</v>
      </c>
      <c r="AN351" s="39"/>
      <c r="AO351" s="39"/>
      <c r="AP351" s="39"/>
      <c r="AQ351" s="30"/>
      <c r="AR351" s="26"/>
      <c r="AS351" s="1"/>
    </row>
    <row r="352" spans="1:45" ht="15">
      <c r="A352" s="61">
        <v>56</v>
      </c>
      <c r="B352" s="61">
        <v>55</v>
      </c>
      <c r="C352" s="61"/>
      <c r="D352" s="61"/>
      <c r="E352" s="61" t="s">
        <v>636</v>
      </c>
      <c r="F352" s="29" t="s">
        <v>47</v>
      </c>
      <c r="G352" s="29"/>
      <c r="H352" s="27"/>
      <c r="I352" s="27"/>
      <c r="J352" s="27">
        <v>133</v>
      </c>
      <c r="K352" s="27"/>
      <c r="L352" s="27"/>
      <c r="M352" s="32">
        <f t="shared" si="44"/>
        <v>133</v>
      </c>
      <c r="N352" s="32" t="s">
        <v>1330</v>
      </c>
      <c r="O352" s="32"/>
      <c r="P352" s="32">
        <f t="shared" si="45"/>
        <v>132.96539999999999</v>
      </c>
      <c r="Q352" s="32">
        <f t="shared" si="46"/>
        <v>1</v>
      </c>
      <c r="R352" s="32">
        <f t="shared" ca="1" si="47"/>
        <v>0</v>
      </c>
      <c r="S352" s="33" t="s">
        <v>79</v>
      </c>
      <c r="T352" s="34">
        <f t="shared" si="48"/>
        <v>0</v>
      </c>
      <c r="U352" s="34">
        <f t="shared" ca="1" si="49"/>
        <v>0</v>
      </c>
      <c r="V352" s="34">
        <f>-SUMPRODUCT((S$6:S351=S352)*(X$6:X351=X352))</f>
        <v>0</v>
      </c>
      <c r="W352" s="34">
        <f>-SUMPRODUCT((S$6:S351=S352)*(X$6:X351=X352)*(B$6:B351&lt;&gt;"NS"))</f>
        <v>0</v>
      </c>
      <c r="X352" s="35">
        <f t="shared" si="50"/>
        <v>133.13300000000001</v>
      </c>
      <c r="Y352" s="27">
        <v>133</v>
      </c>
      <c r="Z352" s="29"/>
      <c r="AA352" s="27"/>
      <c r="AB352" s="27"/>
      <c r="AC352" s="27"/>
      <c r="AD352" s="27"/>
      <c r="AF352" s="36">
        <v>0</v>
      </c>
      <c r="AG352" s="36">
        <v>0</v>
      </c>
      <c r="AH352" s="36">
        <v>0</v>
      </c>
      <c r="AI352" s="36">
        <v>0</v>
      </c>
      <c r="AJ352" s="37">
        <v>1</v>
      </c>
      <c r="AK352" s="38">
        <v>133.09910000000002</v>
      </c>
      <c r="AL352" s="39">
        <v>133</v>
      </c>
      <c r="AM352" s="32">
        <v>266</v>
      </c>
      <c r="AN352" s="39"/>
      <c r="AO352" s="39"/>
      <c r="AP352" s="39"/>
      <c r="AQ352" s="30"/>
      <c r="AR352" s="26"/>
      <c r="AS352" s="1"/>
    </row>
    <row r="353" spans="1:45" ht="15">
      <c r="A353" s="61">
        <v>57</v>
      </c>
      <c r="B353" s="61">
        <v>56</v>
      </c>
      <c r="C353" s="61"/>
      <c r="D353" s="61"/>
      <c r="E353" s="61" t="s">
        <v>637</v>
      </c>
      <c r="F353" s="29" t="s">
        <v>162</v>
      </c>
      <c r="G353" s="29">
        <v>122</v>
      </c>
      <c r="H353" s="27"/>
      <c r="I353" s="27"/>
      <c r="J353" s="27"/>
      <c r="K353" s="27"/>
      <c r="L353" s="27"/>
      <c r="M353" s="32">
        <f t="shared" si="44"/>
        <v>122</v>
      </c>
      <c r="N353" s="32" t="s">
        <v>1330</v>
      </c>
      <c r="O353" s="32"/>
      <c r="P353" s="32">
        <f t="shared" si="45"/>
        <v>121.9653</v>
      </c>
      <c r="Q353" s="32">
        <f t="shared" si="46"/>
        <v>1</v>
      </c>
      <c r="R353" s="32">
        <f t="shared" ca="1" si="47"/>
        <v>0</v>
      </c>
      <c r="S353" s="33" t="s">
        <v>79</v>
      </c>
      <c r="T353" s="34">
        <f t="shared" si="48"/>
        <v>0</v>
      </c>
      <c r="U353" s="34">
        <f t="shared" ca="1" si="49"/>
        <v>0</v>
      </c>
      <c r="V353" s="34">
        <f>-SUMPRODUCT((S$6:S352=S353)*(X$6:X352=X353))</f>
        <v>0</v>
      </c>
      <c r="W353" s="34">
        <f>-SUMPRODUCT((S$6:S352=S353)*(X$6:X352=X353)*(B$6:B352&lt;&gt;"NS"))</f>
        <v>0</v>
      </c>
      <c r="X353" s="35">
        <f t="shared" si="50"/>
        <v>122.122</v>
      </c>
      <c r="Y353" s="29">
        <v>122</v>
      </c>
      <c r="Z353" s="27"/>
      <c r="AA353" s="27"/>
      <c r="AB353" s="27"/>
      <c r="AC353" s="27"/>
      <c r="AD353" s="27"/>
      <c r="AF353" s="36">
        <v>0</v>
      </c>
      <c r="AG353" s="36">
        <v>0</v>
      </c>
      <c r="AH353" s="36">
        <v>0</v>
      </c>
      <c r="AI353" s="36">
        <v>0</v>
      </c>
      <c r="AJ353" s="37">
        <v>1</v>
      </c>
      <c r="AK353" s="38">
        <v>122.0879</v>
      </c>
      <c r="AL353" s="39">
        <v>122</v>
      </c>
      <c r="AM353" s="32">
        <v>244</v>
      </c>
      <c r="AN353" s="39"/>
      <c r="AO353" s="39"/>
      <c r="AP353" s="39"/>
      <c r="AQ353" s="30"/>
      <c r="AR353" s="26"/>
      <c r="AS353" s="1"/>
    </row>
    <row r="354" spans="1:45" ht="15">
      <c r="A354" s="61">
        <v>58</v>
      </c>
      <c r="B354" s="61">
        <v>57</v>
      </c>
      <c r="C354" s="61"/>
      <c r="D354" s="61"/>
      <c r="E354" s="61" t="s">
        <v>638</v>
      </c>
      <c r="F354" s="29" t="s">
        <v>66</v>
      </c>
      <c r="G354" s="29"/>
      <c r="H354" s="27"/>
      <c r="I354" s="27">
        <v>114</v>
      </c>
      <c r="J354" s="27"/>
      <c r="K354" s="27"/>
      <c r="L354" s="27"/>
      <c r="M354" s="32">
        <f t="shared" si="44"/>
        <v>114</v>
      </c>
      <c r="N354" s="32" t="s">
        <v>1330</v>
      </c>
      <c r="O354" s="32"/>
      <c r="P354" s="32">
        <f t="shared" si="45"/>
        <v>113.9652</v>
      </c>
      <c r="Q354" s="32">
        <f t="shared" si="46"/>
        <v>1</v>
      </c>
      <c r="R354" s="32">
        <f t="shared" ca="1" si="47"/>
        <v>0</v>
      </c>
      <c r="S354" s="33" t="s">
        <v>79</v>
      </c>
      <c r="T354" s="34">
        <f t="shared" si="48"/>
        <v>0</v>
      </c>
      <c r="U354" s="34">
        <f t="shared" ca="1" si="49"/>
        <v>0</v>
      </c>
      <c r="V354" s="34">
        <f>-SUMPRODUCT((S$6:S353=S354)*(X$6:X353=X354))</f>
        <v>0</v>
      </c>
      <c r="W354" s="34">
        <f>-SUMPRODUCT((S$6:S353=S354)*(X$6:X353=X354)*(B$6:B353&lt;&gt;"NS"))</f>
        <v>0</v>
      </c>
      <c r="X354" s="35">
        <f t="shared" si="50"/>
        <v>114.114</v>
      </c>
      <c r="Y354" s="27">
        <v>114</v>
      </c>
      <c r="Z354" s="29"/>
      <c r="AA354" s="27"/>
      <c r="AB354" s="27"/>
      <c r="AC354" s="27"/>
      <c r="AD354" s="27"/>
      <c r="AF354" s="36">
        <v>0</v>
      </c>
      <c r="AG354" s="36">
        <v>0</v>
      </c>
      <c r="AH354" s="36">
        <v>0</v>
      </c>
      <c r="AI354" s="36">
        <v>0</v>
      </c>
      <c r="AJ354" s="37">
        <v>1</v>
      </c>
      <c r="AK354" s="38">
        <v>114.07980000000001</v>
      </c>
      <c r="AL354" s="39">
        <v>114</v>
      </c>
      <c r="AM354" s="32">
        <v>228</v>
      </c>
      <c r="AN354" s="39"/>
      <c r="AO354" s="39"/>
      <c r="AP354" s="39"/>
      <c r="AQ354" s="30"/>
      <c r="AR354" s="26"/>
      <c r="AS354" s="1"/>
    </row>
    <row r="355" spans="1:45" ht="15">
      <c r="A355" s="61">
        <v>59</v>
      </c>
      <c r="B355" s="61">
        <v>58</v>
      </c>
      <c r="C355" s="61"/>
      <c r="D355" s="61"/>
      <c r="E355" s="61" t="s">
        <v>639</v>
      </c>
      <c r="F355" s="29" t="s">
        <v>38</v>
      </c>
      <c r="G355" s="29"/>
      <c r="H355" s="27"/>
      <c r="I355" s="27">
        <v>106</v>
      </c>
      <c r="J355" s="27"/>
      <c r="K355" s="27"/>
      <c r="L355" s="27"/>
      <c r="M355" s="32">
        <f t="shared" si="44"/>
        <v>106</v>
      </c>
      <c r="N355" s="32" t="s">
        <v>1330</v>
      </c>
      <c r="O355" s="32"/>
      <c r="P355" s="32">
        <f t="shared" si="45"/>
        <v>105.96510000000001</v>
      </c>
      <c r="Q355" s="32">
        <f t="shared" si="46"/>
        <v>1</v>
      </c>
      <c r="R355" s="32">
        <f t="shared" ca="1" si="47"/>
        <v>0</v>
      </c>
      <c r="S355" s="33" t="s">
        <v>79</v>
      </c>
      <c r="T355" s="34">
        <f t="shared" si="48"/>
        <v>0</v>
      </c>
      <c r="U355" s="34">
        <f t="shared" ca="1" si="49"/>
        <v>0</v>
      </c>
      <c r="V355" s="34">
        <f>-SUMPRODUCT((S$6:S354=S355)*(X$6:X354=X355))</f>
        <v>0</v>
      </c>
      <c r="W355" s="34">
        <f>-SUMPRODUCT((S$6:S354=S355)*(X$6:X354=X355)*(B$6:B354&lt;&gt;"NS"))</f>
        <v>0</v>
      </c>
      <c r="X355" s="35">
        <f t="shared" si="50"/>
        <v>106.10599999999999</v>
      </c>
      <c r="Y355" s="27">
        <v>106</v>
      </c>
      <c r="Z355" s="29"/>
      <c r="AA355" s="27"/>
      <c r="AB355" s="27"/>
      <c r="AC355" s="27"/>
      <c r="AD355" s="27"/>
      <c r="AF355" s="36">
        <v>0</v>
      </c>
      <c r="AG355" s="36">
        <v>0</v>
      </c>
      <c r="AH355" s="36">
        <v>0</v>
      </c>
      <c r="AI355" s="36">
        <v>0</v>
      </c>
      <c r="AJ355" s="37">
        <v>1</v>
      </c>
      <c r="AK355" s="38">
        <v>106.07169999999999</v>
      </c>
      <c r="AL355" s="39">
        <v>106</v>
      </c>
      <c r="AM355" s="32">
        <v>212</v>
      </c>
      <c r="AN355" s="39"/>
      <c r="AO355" s="39"/>
      <c r="AP355" s="39"/>
      <c r="AQ355" s="30"/>
      <c r="AR355" s="26"/>
      <c r="AS355" s="1"/>
    </row>
    <row r="356" spans="1:45" ht="15">
      <c r="A356" s="61">
        <v>60</v>
      </c>
      <c r="B356" s="61">
        <v>59</v>
      </c>
      <c r="C356" s="61"/>
      <c r="D356" s="61"/>
      <c r="E356" s="61" t="s">
        <v>640</v>
      </c>
      <c r="F356" s="29" t="s">
        <v>485</v>
      </c>
      <c r="G356" s="29">
        <v>98</v>
      </c>
      <c r="H356" s="27"/>
      <c r="I356" s="27"/>
      <c r="J356" s="27"/>
      <c r="K356" s="27"/>
      <c r="L356" s="27"/>
      <c r="M356" s="32">
        <f t="shared" si="44"/>
        <v>98</v>
      </c>
      <c r="N356" s="32" t="s">
        <v>1330</v>
      </c>
      <c r="O356" s="32"/>
      <c r="P356" s="32">
        <f t="shared" si="45"/>
        <v>97.965000000000003</v>
      </c>
      <c r="Q356" s="32">
        <f t="shared" si="46"/>
        <v>1</v>
      </c>
      <c r="R356" s="32">
        <f t="shared" ca="1" si="47"/>
        <v>0</v>
      </c>
      <c r="S356" s="33" t="s">
        <v>79</v>
      </c>
      <c r="T356" s="34">
        <f t="shared" si="48"/>
        <v>0</v>
      </c>
      <c r="U356" s="34">
        <f t="shared" ca="1" si="49"/>
        <v>0</v>
      </c>
      <c r="V356" s="34">
        <f>-SUMPRODUCT((S$6:S355=S356)*(X$6:X355=X356))</f>
        <v>0</v>
      </c>
      <c r="W356" s="34">
        <f>-SUMPRODUCT((S$6:S355=S356)*(X$6:X355=X356)*(B$6:B355&lt;&gt;"NS"))</f>
        <v>0</v>
      </c>
      <c r="X356" s="35">
        <f t="shared" si="50"/>
        <v>98.097999999999999</v>
      </c>
      <c r="Y356" s="29">
        <v>98</v>
      </c>
      <c r="Z356" s="27"/>
      <c r="AA356" s="27"/>
      <c r="AB356" s="27"/>
      <c r="AC356" s="27"/>
      <c r="AD356" s="27"/>
      <c r="AF356" s="36">
        <v>0</v>
      </c>
      <c r="AG356" s="36">
        <v>0</v>
      </c>
      <c r="AH356" s="36">
        <v>0</v>
      </c>
      <c r="AI356" s="36">
        <v>0</v>
      </c>
      <c r="AJ356" s="37">
        <v>1</v>
      </c>
      <c r="AK356" s="38">
        <v>98.063599999999994</v>
      </c>
      <c r="AL356" s="39">
        <v>98</v>
      </c>
      <c r="AM356" s="32">
        <v>196</v>
      </c>
      <c r="AN356" s="39"/>
      <c r="AO356" s="39"/>
      <c r="AP356" s="39"/>
      <c r="AQ356" s="30"/>
      <c r="AR356" s="26"/>
      <c r="AS356" s="1"/>
    </row>
    <row r="357" spans="1:45" ht="15">
      <c r="A357" s="61">
        <v>61</v>
      </c>
      <c r="B357" s="61">
        <v>60</v>
      </c>
      <c r="C357" s="61"/>
      <c r="D357" s="61"/>
      <c r="E357" s="61" t="s">
        <v>641</v>
      </c>
      <c r="F357" s="29" t="s">
        <v>50</v>
      </c>
      <c r="G357" s="29">
        <v>95</v>
      </c>
      <c r="H357" s="27"/>
      <c r="I357" s="27"/>
      <c r="J357" s="27"/>
      <c r="K357" s="27"/>
      <c r="L357" s="27"/>
      <c r="M357" s="32">
        <f t="shared" si="44"/>
        <v>95</v>
      </c>
      <c r="N357" s="32" t="s">
        <v>1330</v>
      </c>
      <c r="O357" s="32"/>
      <c r="P357" s="32">
        <f t="shared" si="45"/>
        <v>94.9649</v>
      </c>
      <c r="Q357" s="32">
        <f t="shared" si="46"/>
        <v>1</v>
      </c>
      <c r="R357" s="32">
        <f t="shared" ca="1" si="47"/>
        <v>0</v>
      </c>
      <c r="S357" s="33" t="s">
        <v>79</v>
      </c>
      <c r="T357" s="34">
        <f t="shared" si="48"/>
        <v>0</v>
      </c>
      <c r="U357" s="34">
        <f t="shared" ca="1" si="49"/>
        <v>0</v>
      </c>
      <c r="V357" s="34">
        <f>-SUMPRODUCT((S$6:S356=S357)*(X$6:X356=X357))</f>
        <v>0</v>
      </c>
      <c r="W357" s="34">
        <f>-SUMPRODUCT((S$6:S356=S357)*(X$6:X356=X357)*(B$6:B356&lt;&gt;"NS"))</f>
        <v>0</v>
      </c>
      <c r="X357" s="35">
        <f t="shared" si="50"/>
        <v>95.094999999999999</v>
      </c>
      <c r="Y357" s="29">
        <v>95</v>
      </c>
      <c r="Z357" s="27"/>
      <c r="AA357" s="27"/>
      <c r="AB357" s="27"/>
      <c r="AC357" s="27"/>
      <c r="AD357" s="27"/>
      <c r="AF357" s="36">
        <v>0</v>
      </c>
      <c r="AG357" s="36">
        <v>0</v>
      </c>
      <c r="AH357" s="36">
        <v>0</v>
      </c>
      <c r="AI357" s="36">
        <v>0</v>
      </c>
      <c r="AJ357" s="37">
        <v>1</v>
      </c>
      <c r="AK357" s="38">
        <v>95.060500000000005</v>
      </c>
      <c r="AL357" s="39">
        <v>95</v>
      </c>
      <c r="AM357" s="32">
        <v>190</v>
      </c>
      <c r="AN357" s="39"/>
      <c r="AO357" s="39"/>
      <c r="AP357" s="39"/>
      <c r="AQ357" s="30"/>
      <c r="AR357" s="26"/>
      <c r="AS357" s="1"/>
    </row>
    <row r="358" spans="1:45" ht="15">
      <c r="A358" s="61">
        <v>62</v>
      </c>
      <c r="B358" s="61">
        <v>61</v>
      </c>
      <c r="C358" s="61"/>
      <c r="D358" s="61"/>
      <c r="E358" s="61" t="s">
        <v>642</v>
      </c>
      <c r="F358" s="29" t="s">
        <v>412</v>
      </c>
      <c r="G358" s="29">
        <v>92</v>
      </c>
      <c r="H358" s="27"/>
      <c r="I358" s="27"/>
      <c r="J358" s="27"/>
      <c r="K358" s="27"/>
      <c r="L358" s="27"/>
      <c r="M358" s="32">
        <f t="shared" si="44"/>
        <v>92</v>
      </c>
      <c r="N358" s="32" t="s">
        <v>1330</v>
      </c>
      <c r="O358" s="32"/>
      <c r="P358" s="32">
        <f t="shared" si="45"/>
        <v>91.964799999999997</v>
      </c>
      <c r="Q358" s="32">
        <f t="shared" si="46"/>
        <v>1</v>
      </c>
      <c r="R358" s="32">
        <f t="shared" ca="1" si="47"/>
        <v>0</v>
      </c>
      <c r="S358" s="33" t="s">
        <v>79</v>
      </c>
      <c r="T358" s="34">
        <f t="shared" si="48"/>
        <v>0</v>
      </c>
      <c r="U358" s="34">
        <f t="shared" ca="1" si="49"/>
        <v>0</v>
      </c>
      <c r="V358" s="34">
        <f>-SUMPRODUCT((S$6:S357=S358)*(X$6:X357=X358))</f>
        <v>0</v>
      </c>
      <c r="W358" s="34">
        <f>-SUMPRODUCT((S$6:S357=S358)*(X$6:X357=X358)*(B$6:B357&lt;&gt;"NS"))</f>
        <v>0</v>
      </c>
      <c r="X358" s="35">
        <f t="shared" si="50"/>
        <v>92.091999999999999</v>
      </c>
      <c r="Y358" s="29">
        <v>92</v>
      </c>
      <c r="Z358" s="27"/>
      <c r="AA358" s="27"/>
      <c r="AB358" s="27"/>
      <c r="AC358" s="27"/>
      <c r="AD358" s="27"/>
      <c r="AF358" s="36">
        <v>0</v>
      </c>
      <c r="AG358" s="36">
        <v>0</v>
      </c>
      <c r="AH358" s="36">
        <v>0</v>
      </c>
      <c r="AI358" s="36">
        <v>0</v>
      </c>
      <c r="AJ358" s="37">
        <v>1</v>
      </c>
      <c r="AK358" s="38">
        <v>92.057400000000001</v>
      </c>
      <c r="AL358" s="39">
        <v>92</v>
      </c>
      <c r="AM358" s="32">
        <v>184</v>
      </c>
      <c r="AN358" s="39"/>
      <c r="AO358" s="39"/>
      <c r="AP358" s="39"/>
      <c r="AQ358" s="30"/>
      <c r="AR358" s="26"/>
      <c r="AS358" s="1"/>
    </row>
    <row r="359" spans="1:45" ht="15">
      <c r="A359" s="61">
        <v>63</v>
      </c>
      <c r="B359" s="61">
        <v>62</v>
      </c>
      <c r="C359" s="61"/>
      <c r="D359" s="61"/>
      <c r="E359" s="61" t="s">
        <v>643</v>
      </c>
      <c r="F359" s="29" t="s">
        <v>47</v>
      </c>
      <c r="G359" s="29"/>
      <c r="H359" s="27">
        <v>77</v>
      </c>
      <c r="I359" s="27"/>
      <c r="J359" s="27"/>
      <c r="K359" s="27"/>
      <c r="L359" s="27"/>
      <c r="M359" s="32">
        <f t="shared" si="44"/>
        <v>77</v>
      </c>
      <c r="N359" s="32" t="s">
        <v>1330</v>
      </c>
      <c r="O359" s="32"/>
      <c r="P359" s="32">
        <f t="shared" si="45"/>
        <v>76.964699999999993</v>
      </c>
      <c r="Q359" s="32">
        <f t="shared" si="46"/>
        <v>1</v>
      </c>
      <c r="R359" s="32">
        <f t="shared" ca="1" si="47"/>
        <v>0</v>
      </c>
      <c r="S359" s="33" t="s">
        <v>79</v>
      </c>
      <c r="T359" s="34">
        <f t="shared" si="48"/>
        <v>0</v>
      </c>
      <c r="U359" s="34">
        <f t="shared" ca="1" si="49"/>
        <v>0</v>
      </c>
      <c r="V359" s="34">
        <f>-SUMPRODUCT((S$6:S358=S359)*(X$6:X358=X359))</f>
        <v>0</v>
      </c>
      <c r="W359" s="34">
        <f>-SUMPRODUCT((S$6:S358=S359)*(X$6:X358=X359)*(B$6:B358&lt;&gt;"NS"))</f>
        <v>0</v>
      </c>
      <c r="X359" s="35">
        <f t="shared" si="50"/>
        <v>77.076999999999998</v>
      </c>
      <c r="Y359" s="27">
        <v>77</v>
      </c>
      <c r="Z359" s="29"/>
      <c r="AA359" s="27"/>
      <c r="AB359" s="27"/>
      <c r="AC359" s="27"/>
      <c r="AD359" s="27"/>
      <c r="AF359" s="36">
        <v>0</v>
      </c>
      <c r="AG359" s="36">
        <v>0</v>
      </c>
      <c r="AH359" s="36">
        <v>0</v>
      </c>
      <c r="AI359" s="36">
        <v>0</v>
      </c>
      <c r="AJ359" s="37">
        <v>1</v>
      </c>
      <c r="AK359" s="38">
        <v>77.042299999999997</v>
      </c>
      <c r="AL359" s="39">
        <v>77</v>
      </c>
      <c r="AM359" s="32">
        <v>154</v>
      </c>
      <c r="AN359" s="39"/>
      <c r="AO359" s="39"/>
      <c r="AP359" s="39"/>
      <c r="AQ359" s="30"/>
      <c r="AR359" s="26"/>
      <c r="AS359" s="1"/>
    </row>
    <row r="360" spans="1:45" ht="15">
      <c r="A360" s="61">
        <v>64</v>
      </c>
      <c r="B360" s="61">
        <v>63</v>
      </c>
      <c r="C360" s="61"/>
      <c r="D360" s="61"/>
      <c r="E360" s="61" t="s">
        <v>644</v>
      </c>
      <c r="F360" s="29" t="s">
        <v>412</v>
      </c>
      <c r="G360" s="29">
        <v>67</v>
      </c>
      <c r="H360" s="27"/>
      <c r="I360" s="27"/>
      <c r="J360" s="27"/>
      <c r="K360" s="27"/>
      <c r="L360" s="27"/>
      <c r="M360" s="32">
        <f t="shared" si="44"/>
        <v>67</v>
      </c>
      <c r="N360" s="32" t="s">
        <v>1330</v>
      </c>
      <c r="O360" s="32"/>
      <c r="P360" s="32">
        <f t="shared" si="45"/>
        <v>66.964600000000004</v>
      </c>
      <c r="Q360" s="32">
        <f t="shared" si="46"/>
        <v>1</v>
      </c>
      <c r="R360" s="32">
        <f t="shared" ca="1" si="47"/>
        <v>0</v>
      </c>
      <c r="S360" s="33" t="s">
        <v>79</v>
      </c>
      <c r="T360" s="34">
        <f t="shared" si="48"/>
        <v>0</v>
      </c>
      <c r="U360" s="34">
        <f t="shared" ca="1" si="49"/>
        <v>0</v>
      </c>
      <c r="V360" s="34">
        <f>-SUMPRODUCT((S$6:S359=S360)*(X$6:X359=X360))</f>
        <v>0</v>
      </c>
      <c r="W360" s="34">
        <f>-SUMPRODUCT((S$6:S359=S360)*(X$6:X359=X360)*(B$6:B359&lt;&gt;"NS"))</f>
        <v>0</v>
      </c>
      <c r="X360" s="35">
        <f t="shared" si="50"/>
        <v>67.066999999999993</v>
      </c>
      <c r="Y360" s="29">
        <v>67</v>
      </c>
      <c r="Z360" s="27"/>
      <c r="AA360" s="27"/>
      <c r="AB360" s="27"/>
      <c r="AC360" s="27"/>
      <c r="AD360" s="27"/>
      <c r="AF360" s="36">
        <v>0</v>
      </c>
      <c r="AG360" s="36">
        <v>0</v>
      </c>
      <c r="AH360" s="36">
        <v>0</v>
      </c>
      <c r="AI360" s="36">
        <v>0</v>
      </c>
      <c r="AJ360" s="37">
        <v>1</v>
      </c>
      <c r="AK360" s="38">
        <v>67.032199999999989</v>
      </c>
      <c r="AL360" s="39">
        <v>67</v>
      </c>
      <c r="AM360" s="32">
        <v>134</v>
      </c>
      <c r="AN360" s="39"/>
      <c r="AO360" s="39"/>
      <c r="AP360" s="39"/>
      <c r="AQ360" s="30"/>
      <c r="AR360" s="26"/>
      <c r="AS360" s="1"/>
    </row>
    <row r="361" spans="1:45" ht="3" customHeight="1">
      <c r="A361" s="61"/>
      <c r="B361" s="1"/>
      <c r="C361" s="1"/>
      <c r="D361" s="1"/>
      <c r="E361" s="61"/>
      <c r="F361" s="29"/>
      <c r="G361" s="29"/>
      <c r="H361" s="27"/>
      <c r="I361" s="27"/>
      <c r="J361" s="27"/>
      <c r="K361" s="27"/>
      <c r="L361" s="27"/>
      <c r="M361" s="32"/>
      <c r="N361" s="27"/>
      <c r="O361" s="27"/>
      <c r="P361" s="32"/>
      <c r="Q361" s="27"/>
      <c r="R361" s="27"/>
      <c r="T361" s="62"/>
      <c r="U361" s="62"/>
      <c r="V361" s="62"/>
      <c r="W361" s="62"/>
      <c r="X361" s="34"/>
      <c r="Y361" s="27"/>
      <c r="Z361" s="27"/>
      <c r="AA361" s="27"/>
      <c r="AB361" s="27"/>
      <c r="AC361" s="27"/>
      <c r="AD361" s="27"/>
      <c r="AJ361" s="63"/>
      <c r="AK361" s="63"/>
      <c r="AL361" s="26"/>
      <c r="AM361" s="26"/>
      <c r="AN361" s="39"/>
      <c r="AO361" s="39"/>
      <c r="AP361" s="39"/>
      <c r="AQ361" s="30"/>
      <c r="AR361" s="26"/>
      <c r="AS361" s="1"/>
    </row>
    <row r="362" spans="1:45" ht="15">
      <c r="A362" s="61"/>
      <c r="B362" s="1"/>
      <c r="C362" s="1"/>
      <c r="D362" s="1"/>
      <c r="E362" s="61"/>
      <c r="F362" s="29"/>
      <c r="G362" s="29"/>
      <c r="H362" s="27"/>
      <c r="I362" s="27"/>
      <c r="J362" s="27"/>
      <c r="K362" s="27"/>
      <c r="L362" s="27"/>
      <c r="M362" s="32"/>
      <c r="N362" s="27"/>
      <c r="O362" s="27"/>
      <c r="P362" s="32"/>
      <c r="Q362" s="27"/>
      <c r="R362" s="27"/>
      <c r="T362" s="62"/>
      <c r="U362" s="62"/>
      <c r="V362" s="62"/>
      <c r="W362" s="62"/>
      <c r="X362" s="34"/>
      <c r="Y362" s="27"/>
      <c r="Z362" s="27"/>
      <c r="AA362" s="27"/>
      <c r="AB362" s="27"/>
      <c r="AC362" s="27"/>
      <c r="AD362" s="27"/>
      <c r="AJ362" s="63"/>
      <c r="AK362" s="63"/>
      <c r="AL362" s="26"/>
      <c r="AM362" s="26"/>
      <c r="AN362" s="39"/>
      <c r="AO362" s="39"/>
      <c r="AP362" s="39"/>
      <c r="AQ362" s="30"/>
      <c r="AR362" s="26"/>
      <c r="AS362" s="1"/>
    </row>
    <row r="363" spans="1:45" s="26" customFormat="1" ht="15">
      <c r="A363" s="61"/>
      <c r="B363" s="1"/>
      <c r="C363" s="1"/>
      <c r="D363" s="1"/>
      <c r="E363" s="60" t="s">
        <v>105</v>
      </c>
      <c r="F363" s="29"/>
      <c r="G363" s="29"/>
      <c r="H363" s="27"/>
      <c r="I363" s="27"/>
      <c r="J363" s="27"/>
      <c r="K363" s="27"/>
      <c r="L363" s="27"/>
      <c r="M363" s="32"/>
      <c r="N363" s="27"/>
      <c r="O363" s="27"/>
      <c r="P363" s="32"/>
      <c r="Q363" s="27"/>
      <c r="R363" s="27"/>
      <c r="S363" s="52" t="str">
        <f>E363</f>
        <v>M60</v>
      </c>
      <c r="T363" s="59"/>
      <c r="U363" s="59"/>
      <c r="V363" s="59"/>
      <c r="W363" s="59"/>
      <c r="X363" s="34"/>
      <c r="Y363" s="27"/>
      <c r="Z363" s="52"/>
      <c r="AA363" s="52"/>
      <c r="AB363" s="52"/>
      <c r="AC363" s="52"/>
      <c r="AD363" s="52"/>
      <c r="AJ363" s="58"/>
      <c r="AK363" s="58"/>
      <c r="AN363" s="39">
        <v>815</v>
      </c>
      <c r="AO363" s="39">
        <v>767</v>
      </c>
      <c r="AP363" s="39">
        <v>754</v>
      </c>
      <c r="AQ363" s="50"/>
      <c r="AS363" s="1"/>
    </row>
    <row r="364" spans="1:45" s="26" customFormat="1" ht="15">
      <c r="A364" s="61">
        <v>1</v>
      </c>
      <c r="B364" s="1">
        <v>1</v>
      </c>
      <c r="C364" s="1"/>
      <c r="D364" s="1"/>
      <c r="E364" s="61" t="s">
        <v>645</v>
      </c>
      <c r="F364" s="29" t="s">
        <v>50</v>
      </c>
      <c r="G364" s="29">
        <v>272</v>
      </c>
      <c r="H364" s="27">
        <v>264</v>
      </c>
      <c r="I364" s="27">
        <v>279</v>
      </c>
      <c r="J364" s="27"/>
      <c r="K364" s="27"/>
      <c r="L364" s="27"/>
      <c r="M364" s="32">
        <f t="shared" ref="M364:M408" si="51">IFERROR(LARGE(G364:L364,1),0)+IF($F$5&gt;=2,IFERROR(LARGE(G364:L364,2),0),0)+IF($F$5&gt;=3,IFERROR(LARGE(G364:L364,3),0),0)+IF($F$5&gt;=4,IFERROR(LARGE(G364:L364,4),0),0)+IF($F$5&gt;=5,IFERROR(LARGE(G364:L364,5),0),0)+IF($F$5&gt;=6,IFERROR(LARGE(G364:L364,6),0),0)</f>
        <v>815</v>
      </c>
      <c r="N364" s="32" t="s">
        <v>1330</v>
      </c>
      <c r="O364" s="32" t="s">
        <v>106</v>
      </c>
      <c r="P364" s="32">
        <f t="shared" ref="P364:P408" si="52">M364-(ROW(M364)-ROW(M$6))/10000</f>
        <v>814.96420000000001</v>
      </c>
      <c r="Q364" s="32">
        <f t="shared" ref="Q364:Q408" si="53">COUNT(G364:L364)</f>
        <v>3</v>
      </c>
      <c r="R364" s="32">
        <f t="shared" ref="R364:R408" ca="1" si="54">IF(AND(Q364=1,OFFSET(F364,0,R$3)&gt;0),"Y",0)</f>
        <v>0</v>
      </c>
      <c r="S364" s="33" t="s">
        <v>105</v>
      </c>
      <c r="T364" s="34">
        <f t="shared" ref="T364:T408" si="55">1-(S364=S363)</f>
        <v>0</v>
      </c>
      <c r="U364" s="34">
        <f t="shared" ref="U364:U408" ca="1" si="56">OFFSET(F364,0,$R$3)</f>
        <v>0</v>
      </c>
      <c r="V364" s="34">
        <f>-SUMPRODUCT((S$6:S363=S364)*(X$6:X363=X364))</f>
        <v>0</v>
      </c>
      <c r="W364" s="34">
        <f>-SUMPRODUCT((S$6:S363=S364)*(X$6:X363=X364)*(B$6:B363&lt;&gt;"NS"))</f>
        <v>0</v>
      </c>
      <c r="X364" s="35">
        <f t="shared" ref="X364:X408" si="57">M364+SUMPRODUCT(Y$4:AD$4,Y364:AD364)</f>
        <v>815.30884000000003</v>
      </c>
      <c r="Y364" s="27">
        <v>279</v>
      </c>
      <c r="Z364" s="29">
        <v>272</v>
      </c>
      <c r="AA364" s="27">
        <v>264</v>
      </c>
      <c r="AB364" s="27"/>
      <c r="AC364" s="27"/>
      <c r="AD364" s="27"/>
      <c r="AF364" s="36">
        <v>0</v>
      </c>
      <c r="AG364" s="36">
        <v>0</v>
      </c>
      <c r="AH364" s="36">
        <v>0</v>
      </c>
      <c r="AI364" s="36">
        <v>0</v>
      </c>
      <c r="AJ364" s="37">
        <v>3</v>
      </c>
      <c r="AK364" s="38">
        <v>815.27364</v>
      </c>
      <c r="AL364" s="39">
        <v>279</v>
      </c>
      <c r="AM364" s="32">
        <v>830</v>
      </c>
      <c r="AN364" s="39" t="s">
        <v>106</v>
      </c>
      <c r="AO364" s="39"/>
      <c r="AP364" s="39"/>
      <c r="AQ364" s="50"/>
      <c r="AS364" s="1"/>
    </row>
    <row r="365" spans="1:45" s="26" customFormat="1" ht="15">
      <c r="A365" s="61">
        <v>2</v>
      </c>
      <c r="B365" s="1">
        <v>2</v>
      </c>
      <c r="C365" s="1"/>
      <c r="D365" s="1"/>
      <c r="E365" s="61" t="s">
        <v>104</v>
      </c>
      <c r="F365" s="29" t="s">
        <v>88</v>
      </c>
      <c r="G365" s="29">
        <v>243</v>
      </c>
      <c r="H365" s="27">
        <v>238</v>
      </c>
      <c r="I365" s="27">
        <v>264</v>
      </c>
      <c r="J365" s="27">
        <v>260</v>
      </c>
      <c r="K365" s="27">
        <v>266</v>
      </c>
      <c r="L365" s="27"/>
      <c r="M365" s="32">
        <f t="shared" si="51"/>
        <v>790</v>
      </c>
      <c r="N365" s="32" t="s">
        <v>1330</v>
      </c>
      <c r="O365" s="32" t="s">
        <v>149</v>
      </c>
      <c r="P365" s="32">
        <f t="shared" si="52"/>
        <v>789.96410000000003</v>
      </c>
      <c r="Q365" s="32">
        <f t="shared" si="53"/>
        <v>5</v>
      </c>
      <c r="R365" s="32">
        <f t="shared" ca="1" si="54"/>
        <v>0</v>
      </c>
      <c r="S365" s="33" t="s">
        <v>105</v>
      </c>
      <c r="T365" s="34">
        <f t="shared" si="55"/>
        <v>0</v>
      </c>
      <c r="U365" s="34">
        <f t="shared" ca="1" si="56"/>
        <v>266</v>
      </c>
      <c r="V365" s="34">
        <f>-SUMPRODUCT((S$6:S364=S365)*(X$6:X364=X365))</f>
        <v>0</v>
      </c>
      <c r="W365" s="34">
        <f>-SUMPRODUCT((S$6:S364=S365)*(X$6:X364=X365)*(B$6:B364&lt;&gt;"NS"))</f>
        <v>0</v>
      </c>
      <c r="X365" s="35">
        <f t="shared" si="57"/>
        <v>790.29499999999996</v>
      </c>
      <c r="Y365" s="27">
        <v>266</v>
      </c>
      <c r="Z365" s="27">
        <v>264</v>
      </c>
      <c r="AA365" s="27">
        <v>260</v>
      </c>
      <c r="AB365" s="29">
        <v>243</v>
      </c>
      <c r="AC365" s="27">
        <v>238</v>
      </c>
      <c r="AD365" s="27"/>
      <c r="AF365" s="36">
        <v>0</v>
      </c>
      <c r="AG365" s="36">
        <v>0</v>
      </c>
      <c r="AH365" s="36">
        <v>0</v>
      </c>
      <c r="AI365" s="36">
        <v>0</v>
      </c>
      <c r="AJ365" s="37">
        <v>4</v>
      </c>
      <c r="AK365" s="38">
        <v>767.25736799999993</v>
      </c>
      <c r="AL365" s="39">
        <v>264</v>
      </c>
      <c r="AM365" s="32">
        <v>788</v>
      </c>
      <c r="AN365" s="39"/>
      <c r="AO365" s="39" t="s">
        <v>149</v>
      </c>
      <c r="AP365" s="39" t="s">
        <v>646</v>
      </c>
      <c r="AQ365" s="50"/>
      <c r="AS365" s="1"/>
    </row>
    <row r="366" spans="1:45" s="26" customFormat="1" ht="15">
      <c r="A366" s="61">
        <v>3</v>
      </c>
      <c r="B366" s="1">
        <v>3</v>
      </c>
      <c r="C366" s="1"/>
      <c r="D366" s="1"/>
      <c r="E366" s="61" t="s">
        <v>115</v>
      </c>
      <c r="F366" s="29" t="s">
        <v>61</v>
      </c>
      <c r="G366" s="29">
        <v>248</v>
      </c>
      <c r="H366" s="27">
        <v>240</v>
      </c>
      <c r="I366" s="27">
        <v>266</v>
      </c>
      <c r="J366" s="27"/>
      <c r="K366" s="27">
        <v>263</v>
      </c>
      <c r="L366" s="27"/>
      <c r="M366" s="32">
        <f t="shared" si="51"/>
        <v>777</v>
      </c>
      <c r="N366" s="32" t="s">
        <v>1330</v>
      </c>
      <c r="O366" s="32" t="s">
        <v>646</v>
      </c>
      <c r="P366" s="32">
        <f t="shared" si="52"/>
        <v>776.96400000000006</v>
      </c>
      <c r="Q366" s="32">
        <f t="shared" si="53"/>
        <v>4</v>
      </c>
      <c r="R366" s="32">
        <f t="shared" ca="1" si="54"/>
        <v>0</v>
      </c>
      <c r="S366" s="33" t="s">
        <v>105</v>
      </c>
      <c r="T366" s="34">
        <f t="shared" si="55"/>
        <v>0</v>
      </c>
      <c r="U366" s="34">
        <f t="shared" ca="1" si="56"/>
        <v>263</v>
      </c>
      <c r="V366" s="34">
        <f>-SUMPRODUCT((S$6:S365=S366)*(X$6:X365=X366))</f>
        <v>0</v>
      </c>
      <c r="W366" s="34">
        <f>-SUMPRODUCT((S$6:S365=S366)*(X$6:X365=X366)*(B$6:B365&lt;&gt;"NS"))</f>
        <v>0</v>
      </c>
      <c r="X366" s="35">
        <f t="shared" si="57"/>
        <v>777.29477999999995</v>
      </c>
      <c r="Y366" s="27">
        <v>266</v>
      </c>
      <c r="Z366" s="27">
        <v>263</v>
      </c>
      <c r="AA366" s="29">
        <v>248</v>
      </c>
      <c r="AB366" s="27">
        <v>240</v>
      </c>
      <c r="AC366" s="27"/>
      <c r="AD366" s="27"/>
      <c r="AF366" s="36">
        <v>0</v>
      </c>
      <c r="AG366" s="36">
        <v>0</v>
      </c>
      <c r="AH366" s="36">
        <v>0</v>
      </c>
      <c r="AI366" s="36">
        <v>0</v>
      </c>
      <c r="AJ366" s="37">
        <v>3</v>
      </c>
      <c r="AK366" s="38">
        <v>754.25779999999997</v>
      </c>
      <c r="AL366" s="39">
        <v>266</v>
      </c>
      <c r="AM366" s="32">
        <v>780</v>
      </c>
      <c r="AN366" s="39"/>
      <c r="AO366" s="39" t="s">
        <v>149</v>
      </c>
      <c r="AP366" s="39" t="s">
        <v>646</v>
      </c>
      <c r="AQ366" s="50"/>
      <c r="AS366" s="1"/>
    </row>
    <row r="367" spans="1:45" s="26" customFormat="1" ht="15">
      <c r="A367" s="61">
        <v>4</v>
      </c>
      <c r="B367" s="1" t="s">
        <v>111</v>
      </c>
      <c r="C367" s="1"/>
      <c r="D367" s="1"/>
      <c r="E367" s="61" t="s">
        <v>647</v>
      </c>
      <c r="F367" s="29" t="s">
        <v>201</v>
      </c>
      <c r="G367" s="29">
        <v>246</v>
      </c>
      <c r="H367" s="27">
        <v>245</v>
      </c>
      <c r="I367" s="27"/>
      <c r="J367" s="27">
        <v>252</v>
      </c>
      <c r="K367" s="27"/>
      <c r="L367" s="27"/>
      <c r="M367" s="32">
        <f t="shared" si="51"/>
        <v>743</v>
      </c>
      <c r="N367" s="32" t="s">
        <v>1331</v>
      </c>
      <c r="O367" s="32"/>
      <c r="P367" s="32">
        <f t="shared" si="52"/>
        <v>742.96389999999997</v>
      </c>
      <c r="Q367" s="32">
        <f t="shared" si="53"/>
        <v>3</v>
      </c>
      <c r="R367" s="32">
        <f t="shared" ca="1" si="54"/>
        <v>0</v>
      </c>
      <c r="S367" s="33" t="s">
        <v>105</v>
      </c>
      <c r="T367" s="34">
        <f t="shared" si="55"/>
        <v>0</v>
      </c>
      <c r="U367" s="34">
        <f t="shared" ca="1" si="56"/>
        <v>0</v>
      </c>
      <c r="V367" s="34">
        <f>-SUMPRODUCT((S$6:S366=S367)*(X$6:X366=X367))</f>
        <v>0</v>
      </c>
      <c r="W367" s="34">
        <f>-SUMPRODUCT((S$6:S366=S367)*(X$6:X366=X367)*(B$6:B366&lt;&gt;"NS"))</f>
        <v>0</v>
      </c>
      <c r="X367" s="35">
        <f t="shared" si="57"/>
        <v>743.27904999999998</v>
      </c>
      <c r="Y367" s="27">
        <v>252</v>
      </c>
      <c r="Z367" s="29">
        <v>246</v>
      </c>
      <c r="AA367" s="27">
        <v>245</v>
      </c>
      <c r="AB367" s="27"/>
      <c r="AC367" s="27"/>
      <c r="AD367" s="27"/>
      <c r="AF367" s="36">
        <v>0</v>
      </c>
      <c r="AG367" s="36">
        <v>0</v>
      </c>
      <c r="AH367" s="36">
        <v>0</v>
      </c>
      <c r="AI367" s="36">
        <v>0</v>
      </c>
      <c r="AJ367" s="37">
        <v>3</v>
      </c>
      <c r="AK367" s="38">
        <v>743.24354999999991</v>
      </c>
      <c r="AL367" s="39">
        <v>252</v>
      </c>
      <c r="AM367" s="32">
        <v>0</v>
      </c>
      <c r="AN367" s="39"/>
      <c r="AO367" s="39"/>
      <c r="AP367" s="39"/>
      <c r="AQ367" s="50"/>
      <c r="AS367" s="1"/>
    </row>
    <row r="368" spans="1:45" s="26" customFormat="1" ht="15">
      <c r="A368" s="61">
        <v>5</v>
      </c>
      <c r="B368" s="1">
        <v>4</v>
      </c>
      <c r="C368" s="1"/>
      <c r="D368" s="1"/>
      <c r="E368" s="61" t="s">
        <v>648</v>
      </c>
      <c r="F368" s="29" t="s">
        <v>38</v>
      </c>
      <c r="G368" s="29">
        <v>225</v>
      </c>
      <c r="H368" s="27">
        <v>222</v>
      </c>
      <c r="I368" s="27"/>
      <c r="J368" s="27">
        <v>244</v>
      </c>
      <c r="K368" s="27"/>
      <c r="L368" s="27"/>
      <c r="M368" s="32">
        <f t="shared" si="51"/>
        <v>691</v>
      </c>
      <c r="N368" s="32" t="s">
        <v>1330</v>
      </c>
      <c r="O368" s="32"/>
      <c r="P368" s="32">
        <f t="shared" si="52"/>
        <v>690.96379999999999</v>
      </c>
      <c r="Q368" s="32">
        <f t="shared" si="53"/>
        <v>3</v>
      </c>
      <c r="R368" s="32">
        <f t="shared" ca="1" si="54"/>
        <v>0</v>
      </c>
      <c r="S368" s="33" t="s">
        <v>105</v>
      </c>
      <c r="T368" s="34">
        <f t="shared" si="55"/>
        <v>0</v>
      </c>
      <c r="U368" s="34">
        <f t="shared" ca="1" si="56"/>
        <v>0</v>
      </c>
      <c r="V368" s="34">
        <f>-SUMPRODUCT((S$6:S367=S368)*(X$6:X367=X368))</f>
        <v>0</v>
      </c>
      <c r="W368" s="34">
        <f>-SUMPRODUCT((S$6:S367=S368)*(X$6:X367=X368)*(B$6:B367&lt;&gt;"NS"))</f>
        <v>0</v>
      </c>
      <c r="X368" s="35">
        <f t="shared" si="57"/>
        <v>691.26872000000003</v>
      </c>
      <c r="Y368" s="27">
        <v>244</v>
      </c>
      <c r="Z368" s="29">
        <v>225</v>
      </c>
      <c r="AA368" s="27">
        <v>222</v>
      </c>
      <c r="AB368" s="27"/>
      <c r="AC368" s="27"/>
      <c r="AD368" s="27"/>
      <c r="AF368" s="36">
        <v>0</v>
      </c>
      <c r="AG368" s="36">
        <v>0</v>
      </c>
      <c r="AH368" s="36">
        <v>0</v>
      </c>
      <c r="AI368" s="36">
        <v>0</v>
      </c>
      <c r="AJ368" s="37">
        <v>3</v>
      </c>
      <c r="AK368" s="38">
        <v>691.23311999999999</v>
      </c>
      <c r="AL368" s="39">
        <v>244</v>
      </c>
      <c r="AM368" s="32">
        <v>713</v>
      </c>
      <c r="AN368" s="39"/>
      <c r="AO368" s="39"/>
      <c r="AP368" s="39"/>
      <c r="AQ368" s="50"/>
      <c r="AS368" s="1"/>
    </row>
    <row r="369" spans="1:45" s="26" customFormat="1" ht="15">
      <c r="A369" s="61">
        <v>6</v>
      </c>
      <c r="B369" s="1">
        <v>5</v>
      </c>
      <c r="C369" s="1"/>
      <c r="D369" s="1"/>
      <c r="E369" s="61" t="s">
        <v>148</v>
      </c>
      <c r="F369" s="29" t="s">
        <v>88</v>
      </c>
      <c r="G369" s="29">
        <v>167</v>
      </c>
      <c r="H369" s="27">
        <v>196</v>
      </c>
      <c r="I369" s="27">
        <v>207</v>
      </c>
      <c r="J369" s="27">
        <v>232</v>
      </c>
      <c r="K369" s="27">
        <v>246</v>
      </c>
      <c r="L369" s="27"/>
      <c r="M369" s="32">
        <f t="shared" si="51"/>
        <v>685</v>
      </c>
      <c r="N369" s="32" t="s">
        <v>1330</v>
      </c>
      <c r="O369" s="32"/>
      <c r="P369" s="32">
        <f t="shared" si="52"/>
        <v>684.96370000000002</v>
      </c>
      <c r="Q369" s="32">
        <f t="shared" si="53"/>
        <v>5</v>
      </c>
      <c r="R369" s="32">
        <f t="shared" ca="1" si="54"/>
        <v>0</v>
      </c>
      <c r="S369" s="33" t="s">
        <v>105</v>
      </c>
      <c r="T369" s="34">
        <f t="shared" si="55"/>
        <v>0</v>
      </c>
      <c r="U369" s="34">
        <f t="shared" ca="1" si="56"/>
        <v>246</v>
      </c>
      <c r="V369" s="34">
        <f>-SUMPRODUCT((S$6:S368=S369)*(X$6:X368=X369))</f>
        <v>0</v>
      </c>
      <c r="W369" s="34">
        <f>-SUMPRODUCT((S$6:S368=S369)*(X$6:X368=X369)*(B$6:B368&lt;&gt;"NS"))</f>
        <v>0</v>
      </c>
      <c r="X369" s="35">
        <f t="shared" si="57"/>
        <v>685.27126999999996</v>
      </c>
      <c r="Y369" s="27">
        <v>246</v>
      </c>
      <c r="Z369" s="27">
        <v>232</v>
      </c>
      <c r="AA369" s="27">
        <v>207</v>
      </c>
      <c r="AB369" s="27">
        <v>196</v>
      </c>
      <c r="AC369" s="29">
        <v>167</v>
      </c>
      <c r="AD369" s="27"/>
      <c r="AF369" s="36">
        <v>0</v>
      </c>
      <c r="AG369" s="36">
        <v>0</v>
      </c>
      <c r="AH369" s="36">
        <v>0</v>
      </c>
      <c r="AI369" s="36">
        <v>0</v>
      </c>
      <c r="AJ369" s="37">
        <v>4</v>
      </c>
      <c r="AK369" s="38">
        <v>635.2190270000001</v>
      </c>
      <c r="AL369" s="39">
        <v>232</v>
      </c>
      <c r="AM369" s="32">
        <v>671</v>
      </c>
      <c r="AN369" s="39"/>
      <c r="AO369" s="39"/>
      <c r="AP369" s="39"/>
      <c r="AQ369" s="50"/>
      <c r="AS369" s="1"/>
    </row>
    <row r="370" spans="1:45" s="26" customFormat="1" ht="15">
      <c r="A370" s="61">
        <v>7</v>
      </c>
      <c r="B370" s="1">
        <v>6</v>
      </c>
      <c r="C370" s="1"/>
      <c r="D370" s="1"/>
      <c r="E370" s="61" t="s">
        <v>167</v>
      </c>
      <c r="F370" s="29" t="s">
        <v>93</v>
      </c>
      <c r="G370" s="29"/>
      <c r="H370" s="27">
        <v>178</v>
      </c>
      <c r="I370" s="27">
        <v>231</v>
      </c>
      <c r="J370" s="27">
        <v>216</v>
      </c>
      <c r="K370" s="27">
        <v>236</v>
      </c>
      <c r="L370" s="27"/>
      <c r="M370" s="32">
        <f t="shared" si="51"/>
        <v>683</v>
      </c>
      <c r="N370" s="32" t="s">
        <v>1330</v>
      </c>
      <c r="O370" s="32"/>
      <c r="P370" s="32">
        <f t="shared" si="52"/>
        <v>682.96360000000004</v>
      </c>
      <c r="Q370" s="32">
        <f t="shared" si="53"/>
        <v>4</v>
      </c>
      <c r="R370" s="32">
        <f t="shared" ca="1" si="54"/>
        <v>0</v>
      </c>
      <c r="S370" s="33" t="s">
        <v>105</v>
      </c>
      <c r="T370" s="34">
        <f t="shared" si="55"/>
        <v>0</v>
      </c>
      <c r="U370" s="34">
        <f t="shared" ca="1" si="56"/>
        <v>236</v>
      </c>
      <c r="V370" s="34">
        <f>-SUMPRODUCT((S$6:S369=S370)*(X$6:X369=X370))</f>
        <v>0</v>
      </c>
      <c r="W370" s="34">
        <f>-SUMPRODUCT((S$6:S369=S370)*(X$6:X369=X370)*(B$6:B369&lt;&gt;"NS"))</f>
        <v>0</v>
      </c>
      <c r="X370" s="35">
        <f t="shared" si="57"/>
        <v>683.26125999999999</v>
      </c>
      <c r="Y370" s="27">
        <v>236</v>
      </c>
      <c r="Z370" s="27">
        <v>231</v>
      </c>
      <c r="AA370" s="27">
        <v>216</v>
      </c>
      <c r="AB370" s="27">
        <v>178</v>
      </c>
      <c r="AC370" s="29"/>
      <c r="AD370" s="27"/>
      <c r="AF370" s="36">
        <v>0</v>
      </c>
      <c r="AG370" s="36">
        <v>0</v>
      </c>
      <c r="AH370" s="36">
        <v>0</v>
      </c>
      <c r="AI370" s="36">
        <v>0</v>
      </c>
      <c r="AJ370" s="37">
        <v>3</v>
      </c>
      <c r="AK370" s="38">
        <v>625.21848000000011</v>
      </c>
      <c r="AL370" s="39">
        <v>231</v>
      </c>
      <c r="AM370" s="32">
        <v>678</v>
      </c>
      <c r="AN370" s="39"/>
      <c r="AO370" s="39"/>
      <c r="AP370" s="39"/>
      <c r="AQ370" s="50"/>
      <c r="AS370" s="1"/>
    </row>
    <row r="371" spans="1:45" s="26" customFormat="1" ht="15">
      <c r="A371" s="61">
        <v>8</v>
      </c>
      <c r="B371" s="1">
        <v>7</v>
      </c>
      <c r="C371" s="1"/>
      <c r="D371" s="1"/>
      <c r="E371" s="61" t="s">
        <v>649</v>
      </c>
      <c r="F371" s="29" t="s">
        <v>38</v>
      </c>
      <c r="G371" s="29">
        <v>223</v>
      </c>
      <c r="H371" s="27">
        <v>225</v>
      </c>
      <c r="I371" s="27">
        <v>235</v>
      </c>
      <c r="J371" s="27"/>
      <c r="K371" s="27"/>
      <c r="L371" s="27"/>
      <c r="M371" s="32">
        <f t="shared" si="51"/>
        <v>683</v>
      </c>
      <c r="N371" s="32" t="s">
        <v>1330</v>
      </c>
      <c r="O371" s="32"/>
      <c r="P371" s="32">
        <f t="shared" si="52"/>
        <v>682.96349999999995</v>
      </c>
      <c r="Q371" s="32">
        <f t="shared" si="53"/>
        <v>3</v>
      </c>
      <c r="R371" s="32">
        <f t="shared" ca="1" si="54"/>
        <v>0</v>
      </c>
      <c r="S371" s="33" t="s">
        <v>105</v>
      </c>
      <c r="T371" s="34">
        <f t="shared" si="55"/>
        <v>0</v>
      </c>
      <c r="U371" s="34">
        <f t="shared" ca="1" si="56"/>
        <v>0</v>
      </c>
      <c r="V371" s="34">
        <f>-SUMPRODUCT((S$6:S370=S371)*(X$6:X370=X371))</f>
        <v>0</v>
      </c>
      <c r="W371" s="34">
        <f>-SUMPRODUCT((S$6:S370=S371)*(X$6:X370=X371)*(B$6:B370&lt;&gt;"NS"))</f>
        <v>0</v>
      </c>
      <c r="X371" s="35">
        <f t="shared" si="57"/>
        <v>683.25972999999999</v>
      </c>
      <c r="Y371" s="27">
        <v>235</v>
      </c>
      <c r="Z371" s="27">
        <v>225</v>
      </c>
      <c r="AA371" s="29">
        <v>223</v>
      </c>
      <c r="AB371" s="27"/>
      <c r="AC371" s="27"/>
      <c r="AD371" s="27"/>
      <c r="AF371" s="36">
        <v>0</v>
      </c>
      <c r="AG371" s="36">
        <v>0</v>
      </c>
      <c r="AH371" s="36">
        <v>0</v>
      </c>
      <c r="AI371" s="36">
        <v>0</v>
      </c>
      <c r="AJ371" s="37">
        <v>3</v>
      </c>
      <c r="AK371" s="38">
        <v>683.22403000000008</v>
      </c>
      <c r="AL371" s="39">
        <v>235</v>
      </c>
      <c r="AM371" s="32">
        <v>695</v>
      </c>
      <c r="AN371" s="39"/>
      <c r="AO371" s="39"/>
      <c r="AP371" s="39"/>
      <c r="AQ371" s="50"/>
      <c r="AS371" s="1"/>
    </row>
    <row r="372" spans="1:45" s="26" customFormat="1" ht="15">
      <c r="A372" s="61">
        <v>9</v>
      </c>
      <c r="B372" s="1">
        <v>8</v>
      </c>
      <c r="C372" s="1"/>
      <c r="D372" s="1"/>
      <c r="E372" s="61" t="s">
        <v>177</v>
      </c>
      <c r="F372" s="29" t="s">
        <v>118</v>
      </c>
      <c r="G372" s="29">
        <v>197</v>
      </c>
      <c r="H372" s="27"/>
      <c r="I372" s="27"/>
      <c r="J372" s="27">
        <v>226</v>
      </c>
      <c r="K372" s="27">
        <v>229</v>
      </c>
      <c r="L372" s="27"/>
      <c r="M372" s="32">
        <f t="shared" si="51"/>
        <v>652</v>
      </c>
      <c r="N372" s="32" t="s">
        <v>1330</v>
      </c>
      <c r="O372" s="32"/>
      <c r="P372" s="32">
        <f t="shared" si="52"/>
        <v>651.96339999999998</v>
      </c>
      <c r="Q372" s="32">
        <f t="shared" si="53"/>
        <v>3</v>
      </c>
      <c r="R372" s="32">
        <f t="shared" ca="1" si="54"/>
        <v>0</v>
      </c>
      <c r="S372" s="33" t="s">
        <v>105</v>
      </c>
      <c r="T372" s="34">
        <f t="shared" si="55"/>
        <v>0</v>
      </c>
      <c r="U372" s="34">
        <f t="shared" ca="1" si="56"/>
        <v>229</v>
      </c>
      <c r="V372" s="34">
        <f>-SUMPRODUCT((S$6:S371=S372)*(X$6:X371=X372))</f>
        <v>0</v>
      </c>
      <c r="W372" s="34">
        <f>-SUMPRODUCT((S$6:S371=S372)*(X$6:X371=X372)*(B$6:B371&lt;&gt;"NS"))</f>
        <v>0</v>
      </c>
      <c r="X372" s="35">
        <f t="shared" si="57"/>
        <v>652.25356999999997</v>
      </c>
      <c r="Y372" s="27">
        <v>229</v>
      </c>
      <c r="Z372" s="27">
        <v>226</v>
      </c>
      <c r="AA372" s="29">
        <v>197</v>
      </c>
      <c r="AB372" s="27"/>
      <c r="AC372" s="27"/>
      <c r="AD372" s="27"/>
      <c r="AF372" s="36">
        <v>0</v>
      </c>
      <c r="AG372" s="36">
        <v>0</v>
      </c>
      <c r="AH372" s="36">
        <v>0</v>
      </c>
      <c r="AI372" s="36">
        <v>0</v>
      </c>
      <c r="AJ372" s="37">
        <v>2</v>
      </c>
      <c r="AK372" s="38">
        <v>423.2088</v>
      </c>
      <c r="AL372" s="39">
        <v>226</v>
      </c>
      <c r="AM372" s="32">
        <v>649</v>
      </c>
      <c r="AN372" s="39"/>
      <c r="AO372" s="39"/>
      <c r="AP372" s="39"/>
      <c r="AQ372" s="50"/>
      <c r="AS372" s="1"/>
    </row>
    <row r="373" spans="1:45" s="26" customFormat="1" ht="15">
      <c r="A373" s="61">
        <v>10</v>
      </c>
      <c r="B373" s="1">
        <v>9</v>
      </c>
      <c r="C373" s="1"/>
      <c r="D373" s="1"/>
      <c r="E373" s="61" t="s">
        <v>158</v>
      </c>
      <c r="F373" s="29" t="s">
        <v>88</v>
      </c>
      <c r="G373" s="29">
        <v>196</v>
      </c>
      <c r="H373" s="27">
        <v>197</v>
      </c>
      <c r="I373" s="27">
        <v>208</v>
      </c>
      <c r="J373" s="27"/>
      <c r="K373" s="27">
        <v>241</v>
      </c>
      <c r="L373" s="27"/>
      <c r="M373" s="32">
        <f t="shared" si="51"/>
        <v>646</v>
      </c>
      <c r="N373" s="32" t="s">
        <v>1330</v>
      </c>
      <c r="O373" s="32"/>
      <c r="P373" s="32">
        <f t="shared" si="52"/>
        <v>645.9633</v>
      </c>
      <c r="Q373" s="32">
        <f t="shared" si="53"/>
        <v>4</v>
      </c>
      <c r="R373" s="32">
        <f t="shared" ca="1" si="54"/>
        <v>0</v>
      </c>
      <c r="S373" s="33" t="s">
        <v>105</v>
      </c>
      <c r="T373" s="34">
        <f t="shared" si="55"/>
        <v>0</v>
      </c>
      <c r="U373" s="34">
        <f t="shared" ca="1" si="56"/>
        <v>241</v>
      </c>
      <c r="V373" s="34">
        <f>-SUMPRODUCT((S$6:S372=S373)*(X$6:X372=X373))</f>
        <v>0</v>
      </c>
      <c r="W373" s="34">
        <f>-SUMPRODUCT((S$6:S372=S373)*(X$6:X372=X373)*(B$6:B372&lt;&gt;"NS"))</f>
        <v>0</v>
      </c>
      <c r="X373" s="35">
        <f t="shared" si="57"/>
        <v>646.26377000000002</v>
      </c>
      <c r="Y373" s="27">
        <v>241</v>
      </c>
      <c r="Z373" s="27">
        <v>208</v>
      </c>
      <c r="AA373" s="27">
        <v>197</v>
      </c>
      <c r="AB373" s="29">
        <v>196</v>
      </c>
      <c r="AC373" s="27"/>
      <c r="AD373" s="27"/>
      <c r="AF373" s="36">
        <v>0</v>
      </c>
      <c r="AG373" s="36">
        <v>0</v>
      </c>
      <c r="AH373" s="36">
        <v>0</v>
      </c>
      <c r="AI373" s="36">
        <v>0</v>
      </c>
      <c r="AJ373" s="37">
        <v>3</v>
      </c>
      <c r="AK373" s="38">
        <v>601.19366000000002</v>
      </c>
      <c r="AL373" s="39">
        <v>208</v>
      </c>
      <c r="AM373" s="32">
        <v>613</v>
      </c>
      <c r="AN373" s="39"/>
      <c r="AO373" s="39"/>
      <c r="AP373" s="39"/>
      <c r="AQ373" s="50"/>
      <c r="AS373" s="1"/>
    </row>
    <row r="374" spans="1:45" s="26" customFormat="1" ht="15">
      <c r="A374" s="61">
        <v>11</v>
      </c>
      <c r="B374" s="1">
        <v>10</v>
      </c>
      <c r="C374" s="1"/>
      <c r="D374" s="1"/>
      <c r="E374" s="61" t="s">
        <v>211</v>
      </c>
      <c r="F374" s="29" t="s">
        <v>134</v>
      </c>
      <c r="G374" s="29">
        <v>140</v>
      </c>
      <c r="H374" s="27">
        <v>167</v>
      </c>
      <c r="I374" s="27">
        <v>204</v>
      </c>
      <c r="J374" s="27">
        <v>204</v>
      </c>
      <c r="K374" s="27">
        <v>211</v>
      </c>
      <c r="L374" s="27"/>
      <c r="M374" s="32">
        <f t="shared" si="51"/>
        <v>619</v>
      </c>
      <c r="N374" s="32" t="s">
        <v>1330</v>
      </c>
      <c r="O374" s="32"/>
      <c r="P374" s="32">
        <f t="shared" si="52"/>
        <v>618.96320000000003</v>
      </c>
      <c r="Q374" s="32">
        <f t="shared" si="53"/>
        <v>5</v>
      </c>
      <c r="R374" s="32">
        <f t="shared" ca="1" si="54"/>
        <v>0</v>
      </c>
      <c r="S374" s="33" t="s">
        <v>105</v>
      </c>
      <c r="T374" s="34">
        <f t="shared" si="55"/>
        <v>0</v>
      </c>
      <c r="U374" s="34">
        <f t="shared" ca="1" si="56"/>
        <v>211</v>
      </c>
      <c r="V374" s="34">
        <f>-SUMPRODUCT((S$6:S373=S374)*(X$6:X373=X374))</f>
        <v>0</v>
      </c>
      <c r="W374" s="34">
        <f>-SUMPRODUCT((S$6:S373=S374)*(X$6:X373=X374)*(B$6:B373&lt;&gt;"NS"))</f>
        <v>0</v>
      </c>
      <c r="X374" s="35">
        <f t="shared" si="57"/>
        <v>619.23343999999997</v>
      </c>
      <c r="Y374" s="27">
        <v>211</v>
      </c>
      <c r="Z374" s="27">
        <v>204</v>
      </c>
      <c r="AA374" s="27">
        <v>204</v>
      </c>
      <c r="AB374" s="27">
        <v>167</v>
      </c>
      <c r="AC374" s="29">
        <v>140</v>
      </c>
      <c r="AD374" s="27"/>
      <c r="AF374" s="36">
        <v>0</v>
      </c>
      <c r="AG374" s="36">
        <v>0</v>
      </c>
      <c r="AH374" s="36">
        <v>0</v>
      </c>
      <c r="AI374" s="36">
        <v>0</v>
      </c>
      <c r="AJ374" s="37">
        <v>4</v>
      </c>
      <c r="AK374" s="38">
        <v>575.19010999999989</v>
      </c>
      <c r="AL374" s="39">
        <v>204</v>
      </c>
      <c r="AM374" s="32">
        <v>612</v>
      </c>
      <c r="AN374" s="39"/>
      <c r="AO374" s="39"/>
      <c r="AP374" s="39"/>
      <c r="AQ374" s="50"/>
      <c r="AS374" s="1"/>
    </row>
    <row r="375" spans="1:45" s="26" customFormat="1" ht="15">
      <c r="A375" s="61">
        <v>12</v>
      </c>
      <c r="B375" s="1">
        <v>11</v>
      </c>
      <c r="C375" s="1"/>
      <c r="D375" s="1"/>
      <c r="E375" s="61" t="s">
        <v>225</v>
      </c>
      <c r="F375" s="29" t="s">
        <v>88</v>
      </c>
      <c r="G375" s="29">
        <v>123</v>
      </c>
      <c r="H375" s="27">
        <v>141</v>
      </c>
      <c r="I375" s="27">
        <v>175</v>
      </c>
      <c r="J375" s="27">
        <v>191</v>
      </c>
      <c r="K375" s="27">
        <v>204</v>
      </c>
      <c r="L375" s="27"/>
      <c r="M375" s="32">
        <f t="shared" si="51"/>
        <v>570</v>
      </c>
      <c r="N375" s="32" t="s">
        <v>1330</v>
      </c>
      <c r="O375" s="32"/>
      <c r="P375" s="32">
        <f t="shared" si="52"/>
        <v>569.96310000000005</v>
      </c>
      <c r="Q375" s="32">
        <f t="shared" si="53"/>
        <v>5</v>
      </c>
      <c r="R375" s="32">
        <f t="shared" ca="1" si="54"/>
        <v>0</v>
      </c>
      <c r="S375" s="33" t="s">
        <v>105</v>
      </c>
      <c r="T375" s="34">
        <f t="shared" si="55"/>
        <v>0</v>
      </c>
      <c r="U375" s="34">
        <f t="shared" ca="1" si="56"/>
        <v>204</v>
      </c>
      <c r="V375" s="34">
        <f>-SUMPRODUCT((S$6:S374=S375)*(X$6:X374=X375))</f>
        <v>0</v>
      </c>
      <c r="W375" s="34">
        <f>-SUMPRODUCT((S$6:S374=S375)*(X$6:X374=X375)*(B$6:B374&lt;&gt;"NS"))</f>
        <v>0</v>
      </c>
      <c r="X375" s="35">
        <f t="shared" si="57"/>
        <v>570.22484999999995</v>
      </c>
      <c r="Y375" s="27">
        <v>204</v>
      </c>
      <c r="Z375" s="27">
        <v>191</v>
      </c>
      <c r="AA375" s="27">
        <v>175</v>
      </c>
      <c r="AB375" s="27">
        <v>141</v>
      </c>
      <c r="AC375" s="29">
        <v>123</v>
      </c>
      <c r="AD375" s="27"/>
      <c r="AF375" s="36">
        <v>0</v>
      </c>
      <c r="AG375" s="36">
        <v>0</v>
      </c>
      <c r="AH375" s="36">
        <v>0</v>
      </c>
      <c r="AI375" s="36">
        <v>0</v>
      </c>
      <c r="AJ375" s="37">
        <v>4</v>
      </c>
      <c r="AK375" s="38">
        <v>507.17353299999996</v>
      </c>
      <c r="AL375" s="39">
        <v>191</v>
      </c>
      <c r="AM375" s="32">
        <v>557</v>
      </c>
      <c r="AN375" s="39"/>
      <c r="AO375" s="39"/>
      <c r="AP375" s="39"/>
      <c r="AQ375" s="50"/>
      <c r="AS375" s="1"/>
    </row>
    <row r="376" spans="1:45" s="26" customFormat="1" ht="15">
      <c r="A376" s="61">
        <v>13</v>
      </c>
      <c r="B376" s="1">
        <v>12</v>
      </c>
      <c r="C376" s="1"/>
      <c r="D376" s="1"/>
      <c r="E376" s="61" t="s">
        <v>650</v>
      </c>
      <c r="F376" s="29" t="s">
        <v>69</v>
      </c>
      <c r="G376" s="29"/>
      <c r="H376" s="27">
        <v>161</v>
      </c>
      <c r="I376" s="27">
        <v>182</v>
      </c>
      <c r="J376" s="27">
        <v>179</v>
      </c>
      <c r="K376" s="27"/>
      <c r="L376" s="27"/>
      <c r="M376" s="32">
        <f t="shared" si="51"/>
        <v>522</v>
      </c>
      <c r="N376" s="32" t="s">
        <v>1330</v>
      </c>
      <c r="O376" s="32"/>
      <c r="P376" s="32">
        <f t="shared" si="52"/>
        <v>521.96299999999997</v>
      </c>
      <c r="Q376" s="32">
        <f t="shared" si="53"/>
        <v>3</v>
      </c>
      <c r="R376" s="32">
        <f t="shared" ca="1" si="54"/>
        <v>0</v>
      </c>
      <c r="S376" s="33" t="s">
        <v>105</v>
      </c>
      <c r="T376" s="34">
        <f t="shared" si="55"/>
        <v>0</v>
      </c>
      <c r="U376" s="34">
        <f t="shared" ca="1" si="56"/>
        <v>0</v>
      </c>
      <c r="V376" s="34">
        <f>-SUMPRODUCT((S$6:S375=S376)*(X$6:X375=X376))</f>
        <v>0</v>
      </c>
      <c r="W376" s="34">
        <f>-SUMPRODUCT((S$6:S375=S376)*(X$6:X375=X376)*(B$6:B375&lt;&gt;"NS"))</f>
        <v>0</v>
      </c>
      <c r="X376" s="35">
        <f t="shared" si="57"/>
        <v>522.20150999999998</v>
      </c>
      <c r="Y376" s="27">
        <v>182</v>
      </c>
      <c r="Z376" s="27">
        <v>179</v>
      </c>
      <c r="AA376" s="27">
        <v>161</v>
      </c>
      <c r="AB376" s="29"/>
      <c r="AC376" s="27"/>
      <c r="AD376" s="27"/>
      <c r="AF376" s="36">
        <v>0</v>
      </c>
      <c r="AG376" s="36">
        <v>0</v>
      </c>
      <c r="AH376" s="36">
        <v>0</v>
      </c>
      <c r="AI376" s="36">
        <v>0</v>
      </c>
      <c r="AJ376" s="37">
        <v>3</v>
      </c>
      <c r="AK376" s="38">
        <v>522.16531000000009</v>
      </c>
      <c r="AL376" s="39">
        <v>182</v>
      </c>
      <c r="AM376" s="32">
        <v>543</v>
      </c>
      <c r="AN376" s="39"/>
      <c r="AO376" s="39"/>
      <c r="AP376" s="39"/>
      <c r="AQ376" s="50"/>
      <c r="AS376" s="1"/>
    </row>
    <row r="377" spans="1:45" s="26" customFormat="1" ht="15">
      <c r="A377" s="61">
        <v>14</v>
      </c>
      <c r="B377" s="1">
        <v>13</v>
      </c>
      <c r="C377" s="1"/>
      <c r="D377" s="1"/>
      <c r="E377" s="61" t="s">
        <v>651</v>
      </c>
      <c r="F377" s="29" t="s">
        <v>47</v>
      </c>
      <c r="G377" s="29"/>
      <c r="H377" s="27">
        <v>135</v>
      </c>
      <c r="I377" s="27">
        <v>187</v>
      </c>
      <c r="J377" s="27">
        <v>199</v>
      </c>
      <c r="K377" s="27"/>
      <c r="L377" s="27"/>
      <c r="M377" s="32">
        <f t="shared" si="51"/>
        <v>521</v>
      </c>
      <c r="N377" s="32" t="s">
        <v>1330</v>
      </c>
      <c r="O377" s="32"/>
      <c r="P377" s="32">
        <f t="shared" si="52"/>
        <v>520.96289999999999</v>
      </c>
      <c r="Q377" s="32">
        <f t="shared" si="53"/>
        <v>3</v>
      </c>
      <c r="R377" s="32">
        <f t="shared" ca="1" si="54"/>
        <v>0</v>
      </c>
      <c r="S377" s="33" t="s">
        <v>105</v>
      </c>
      <c r="T377" s="34">
        <f t="shared" si="55"/>
        <v>0</v>
      </c>
      <c r="U377" s="34">
        <f t="shared" ca="1" si="56"/>
        <v>0</v>
      </c>
      <c r="V377" s="34">
        <f>-SUMPRODUCT((S$6:S376=S377)*(X$6:X376=X377))</f>
        <v>0</v>
      </c>
      <c r="W377" s="34">
        <f>-SUMPRODUCT((S$6:S376=S377)*(X$6:X376=X377)*(B$6:B376&lt;&gt;"NS"))</f>
        <v>0</v>
      </c>
      <c r="X377" s="35">
        <f t="shared" si="57"/>
        <v>521.21905000000004</v>
      </c>
      <c r="Y377" s="27">
        <v>199</v>
      </c>
      <c r="Z377" s="27">
        <v>187</v>
      </c>
      <c r="AA377" s="27">
        <v>135</v>
      </c>
      <c r="AB377" s="29"/>
      <c r="AC377" s="27"/>
      <c r="AD377" s="27"/>
      <c r="AF377" s="36">
        <v>0</v>
      </c>
      <c r="AG377" s="36">
        <v>0</v>
      </c>
      <c r="AH377" s="36">
        <v>0</v>
      </c>
      <c r="AI377" s="36">
        <v>0</v>
      </c>
      <c r="AJ377" s="37">
        <v>3</v>
      </c>
      <c r="AK377" s="38">
        <v>521.18274999999994</v>
      </c>
      <c r="AL377" s="39">
        <v>199</v>
      </c>
      <c r="AM377" s="32">
        <v>585</v>
      </c>
      <c r="AN377" s="39"/>
      <c r="AO377" s="39"/>
      <c r="AP377" s="39"/>
      <c r="AQ377" s="50"/>
      <c r="AS377" s="1"/>
    </row>
    <row r="378" spans="1:45" s="26" customFormat="1" ht="15">
      <c r="A378" s="61">
        <v>15</v>
      </c>
      <c r="B378" s="1">
        <v>14</v>
      </c>
      <c r="C378" s="1"/>
      <c r="D378" s="1"/>
      <c r="E378" s="61" t="s">
        <v>652</v>
      </c>
      <c r="F378" s="29" t="s">
        <v>412</v>
      </c>
      <c r="G378" s="29">
        <v>156</v>
      </c>
      <c r="H378" s="27"/>
      <c r="I378" s="27">
        <v>170</v>
      </c>
      <c r="J378" s="27">
        <v>195</v>
      </c>
      <c r="K378" s="27"/>
      <c r="L378" s="27"/>
      <c r="M378" s="32">
        <f t="shared" si="51"/>
        <v>521</v>
      </c>
      <c r="N378" s="32" t="s">
        <v>1330</v>
      </c>
      <c r="O378" s="32"/>
      <c r="P378" s="32">
        <f t="shared" si="52"/>
        <v>520.96280000000002</v>
      </c>
      <c r="Q378" s="32">
        <f t="shared" si="53"/>
        <v>3</v>
      </c>
      <c r="R378" s="32">
        <f t="shared" ca="1" si="54"/>
        <v>0</v>
      </c>
      <c r="S378" s="33" t="s">
        <v>105</v>
      </c>
      <c r="T378" s="34">
        <f t="shared" si="55"/>
        <v>0</v>
      </c>
      <c r="U378" s="34">
        <f t="shared" ca="1" si="56"/>
        <v>0</v>
      </c>
      <c r="V378" s="34">
        <f>-SUMPRODUCT((S$6:S377=S378)*(X$6:X377=X378))</f>
        <v>0</v>
      </c>
      <c r="W378" s="34">
        <f>-SUMPRODUCT((S$6:S377=S378)*(X$6:X377=X378)*(B$6:B377&lt;&gt;"NS"))</f>
        <v>0</v>
      </c>
      <c r="X378" s="35">
        <f t="shared" si="57"/>
        <v>521.21356000000003</v>
      </c>
      <c r="Y378" s="27">
        <v>195</v>
      </c>
      <c r="Z378" s="27">
        <v>170</v>
      </c>
      <c r="AA378" s="29">
        <v>156</v>
      </c>
      <c r="AB378" s="27"/>
      <c r="AC378" s="27"/>
      <c r="AD378" s="27"/>
      <c r="AF378" s="36">
        <v>0</v>
      </c>
      <c r="AG378" s="36">
        <v>0</v>
      </c>
      <c r="AH378" s="36">
        <v>0</v>
      </c>
      <c r="AI378" s="36">
        <v>0</v>
      </c>
      <c r="AJ378" s="37">
        <v>3</v>
      </c>
      <c r="AK378" s="38">
        <v>521.17716000000019</v>
      </c>
      <c r="AL378" s="39">
        <v>195</v>
      </c>
      <c r="AM378" s="32">
        <v>560</v>
      </c>
      <c r="AN378" s="39"/>
      <c r="AO378" s="39"/>
      <c r="AP378" s="39"/>
      <c r="AQ378" s="50"/>
      <c r="AS378" s="1"/>
    </row>
    <row r="379" spans="1:45" s="26" customFormat="1" ht="15">
      <c r="A379" s="61">
        <v>16</v>
      </c>
      <c r="B379" s="1">
        <v>15</v>
      </c>
      <c r="C379" s="1"/>
      <c r="D379" s="1"/>
      <c r="E379" s="61" t="s">
        <v>196</v>
      </c>
      <c r="F379" s="29" t="s">
        <v>50</v>
      </c>
      <c r="G379" s="29">
        <v>137</v>
      </c>
      <c r="H379" s="27">
        <v>113</v>
      </c>
      <c r="I379" s="27">
        <v>155</v>
      </c>
      <c r="J379" s="27"/>
      <c r="K379" s="27">
        <v>220</v>
      </c>
      <c r="L379" s="27"/>
      <c r="M379" s="32">
        <f t="shared" si="51"/>
        <v>512</v>
      </c>
      <c r="N379" s="32" t="s">
        <v>1330</v>
      </c>
      <c r="O379" s="32"/>
      <c r="P379" s="32">
        <f t="shared" si="52"/>
        <v>511.96269999999998</v>
      </c>
      <c r="Q379" s="32">
        <f t="shared" si="53"/>
        <v>4</v>
      </c>
      <c r="R379" s="32">
        <f t="shared" ca="1" si="54"/>
        <v>0</v>
      </c>
      <c r="S379" s="33" t="s">
        <v>105</v>
      </c>
      <c r="T379" s="34">
        <f t="shared" si="55"/>
        <v>0</v>
      </c>
      <c r="U379" s="34">
        <f t="shared" ca="1" si="56"/>
        <v>220</v>
      </c>
      <c r="V379" s="34">
        <f>-SUMPRODUCT((S$6:S378=S379)*(X$6:X378=X379))</f>
        <v>0</v>
      </c>
      <c r="W379" s="34">
        <f>-SUMPRODUCT((S$6:S378=S379)*(X$6:X378=X379)*(B$6:B378&lt;&gt;"NS"))</f>
        <v>0</v>
      </c>
      <c r="X379" s="35">
        <f t="shared" si="57"/>
        <v>512.23686999999995</v>
      </c>
      <c r="Y379" s="27">
        <v>220</v>
      </c>
      <c r="Z379" s="27">
        <v>155</v>
      </c>
      <c r="AA379" s="29">
        <v>137</v>
      </c>
      <c r="AB379" s="27">
        <v>113</v>
      </c>
      <c r="AC379" s="27"/>
      <c r="AD379" s="27"/>
      <c r="AF379" s="36">
        <v>0</v>
      </c>
      <c r="AG379" s="36">
        <v>0</v>
      </c>
      <c r="AH379" s="36">
        <v>0</v>
      </c>
      <c r="AI379" s="36">
        <v>0</v>
      </c>
      <c r="AJ379" s="37">
        <v>3</v>
      </c>
      <c r="AK379" s="38">
        <v>405.13282999999996</v>
      </c>
      <c r="AL379" s="39">
        <v>155</v>
      </c>
      <c r="AM379" s="32">
        <v>447</v>
      </c>
      <c r="AN379" s="39"/>
      <c r="AO379" s="39"/>
      <c r="AP379" s="39"/>
      <c r="AQ379" s="50"/>
      <c r="AS379" s="1"/>
    </row>
    <row r="380" spans="1:45" s="26" customFormat="1" ht="15">
      <c r="A380" s="61">
        <v>17</v>
      </c>
      <c r="B380" s="1">
        <v>16</v>
      </c>
      <c r="C380" s="1"/>
      <c r="D380" s="1"/>
      <c r="E380" s="61" t="s">
        <v>653</v>
      </c>
      <c r="F380" s="29" t="s">
        <v>134</v>
      </c>
      <c r="G380" s="29">
        <v>114</v>
      </c>
      <c r="H380" s="27">
        <v>125</v>
      </c>
      <c r="I380" s="27">
        <v>173</v>
      </c>
      <c r="J380" s="27">
        <v>202</v>
      </c>
      <c r="K380" s="27"/>
      <c r="L380" s="27"/>
      <c r="M380" s="32">
        <f t="shared" si="51"/>
        <v>500</v>
      </c>
      <c r="N380" s="32" t="s">
        <v>1330</v>
      </c>
      <c r="O380" s="32"/>
      <c r="P380" s="32">
        <f t="shared" si="52"/>
        <v>499.96260000000001</v>
      </c>
      <c r="Q380" s="32">
        <f t="shared" si="53"/>
        <v>4</v>
      </c>
      <c r="R380" s="32">
        <f t="shared" ca="1" si="54"/>
        <v>0</v>
      </c>
      <c r="S380" s="33" t="s">
        <v>105</v>
      </c>
      <c r="T380" s="34">
        <f t="shared" si="55"/>
        <v>0</v>
      </c>
      <c r="U380" s="34">
        <f t="shared" ca="1" si="56"/>
        <v>0</v>
      </c>
      <c r="V380" s="34">
        <f>-SUMPRODUCT((S$6:S379=S380)*(X$6:X379=X380))</f>
        <v>0</v>
      </c>
      <c r="W380" s="34">
        <f>-SUMPRODUCT((S$6:S379=S380)*(X$6:X379=X380)*(B$6:B379&lt;&gt;"NS"))</f>
        <v>0</v>
      </c>
      <c r="X380" s="35">
        <f t="shared" si="57"/>
        <v>500.22055</v>
      </c>
      <c r="Y380" s="27">
        <v>202</v>
      </c>
      <c r="Z380" s="27">
        <v>173</v>
      </c>
      <c r="AA380" s="27">
        <v>125</v>
      </c>
      <c r="AB380" s="29">
        <v>114</v>
      </c>
      <c r="AC380" s="27"/>
      <c r="AD380" s="27"/>
      <c r="AF380" s="36">
        <v>0</v>
      </c>
      <c r="AG380" s="36">
        <v>0</v>
      </c>
      <c r="AH380" s="36">
        <v>0</v>
      </c>
      <c r="AI380" s="36">
        <v>0</v>
      </c>
      <c r="AJ380" s="37">
        <v>4</v>
      </c>
      <c r="AK380" s="38">
        <v>500.18406399999998</v>
      </c>
      <c r="AL380" s="39">
        <v>202</v>
      </c>
      <c r="AM380" s="32">
        <v>577</v>
      </c>
      <c r="AN380" s="39"/>
      <c r="AO380" s="39"/>
      <c r="AP380" s="39"/>
      <c r="AQ380" s="50"/>
      <c r="AS380" s="1"/>
    </row>
    <row r="381" spans="1:45" s="26" customFormat="1" ht="15">
      <c r="A381" s="61">
        <v>18</v>
      </c>
      <c r="B381" s="1">
        <v>17</v>
      </c>
      <c r="C381" s="1"/>
      <c r="D381" s="1"/>
      <c r="E381" s="61" t="s">
        <v>654</v>
      </c>
      <c r="F381" s="29" t="s">
        <v>53</v>
      </c>
      <c r="G381" s="29"/>
      <c r="H381" s="27">
        <v>140</v>
      </c>
      <c r="I381" s="27">
        <v>166</v>
      </c>
      <c r="J381" s="27">
        <v>188</v>
      </c>
      <c r="K381" s="27"/>
      <c r="L381" s="27"/>
      <c r="M381" s="32">
        <f t="shared" si="51"/>
        <v>494</v>
      </c>
      <c r="N381" s="32" t="s">
        <v>1330</v>
      </c>
      <c r="O381" s="32"/>
      <c r="P381" s="32">
        <f t="shared" si="52"/>
        <v>493.96249999999998</v>
      </c>
      <c r="Q381" s="32">
        <f t="shared" si="53"/>
        <v>3</v>
      </c>
      <c r="R381" s="32">
        <f t="shared" ca="1" si="54"/>
        <v>0</v>
      </c>
      <c r="S381" s="33" t="s">
        <v>105</v>
      </c>
      <c r="T381" s="34">
        <f t="shared" si="55"/>
        <v>0</v>
      </c>
      <c r="U381" s="34">
        <f t="shared" ca="1" si="56"/>
        <v>0</v>
      </c>
      <c r="V381" s="34">
        <f>-SUMPRODUCT((S$6:S380=S381)*(X$6:X380=X381))</f>
        <v>0</v>
      </c>
      <c r="W381" s="34">
        <f>-SUMPRODUCT((S$6:S380=S381)*(X$6:X380=X381)*(B$6:B380&lt;&gt;"NS"))</f>
        <v>0</v>
      </c>
      <c r="X381" s="35">
        <f t="shared" si="57"/>
        <v>494.20600000000002</v>
      </c>
      <c r="Y381" s="27">
        <v>188</v>
      </c>
      <c r="Z381" s="27">
        <v>166</v>
      </c>
      <c r="AA381" s="27">
        <v>140</v>
      </c>
      <c r="AB381" s="29"/>
      <c r="AC381" s="27"/>
      <c r="AD381" s="27"/>
      <c r="AF381" s="36">
        <v>0</v>
      </c>
      <c r="AG381" s="36">
        <v>0</v>
      </c>
      <c r="AH381" s="36">
        <v>0</v>
      </c>
      <c r="AI381" s="36">
        <v>0</v>
      </c>
      <c r="AJ381" s="37">
        <v>3</v>
      </c>
      <c r="AK381" s="38">
        <v>494.16929999999996</v>
      </c>
      <c r="AL381" s="39">
        <v>188</v>
      </c>
      <c r="AM381" s="32">
        <v>542</v>
      </c>
      <c r="AN381" s="39"/>
      <c r="AO381" s="39"/>
      <c r="AP381" s="39"/>
      <c r="AQ381" s="50"/>
      <c r="AS381" s="1"/>
    </row>
    <row r="382" spans="1:45" s="26" customFormat="1" ht="15">
      <c r="A382" s="61">
        <v>19</v>
      </c>
      <c r="B382" s="1">
        <v>18</v>
      </c>
      <c r="C382" s="1"/>
      <c r="D382" s="1"/>
      <c r="E382" s="61" t="s">
        <v>268</v>
      </c>
      <c r="F382" s="29" t="s">
        <v>47</v>
      </c>
      <c r="G382" s="29">
        <v>85</v>
      </c>
      <c r="H382" s="27">
        <v>94</v>
      </c>
      <c r="I382" s="27">
        <v>133</v>
      </c>
      <c r="J382" s="27">
        <v>158</v>
      </c>
      <c r="K382" s="27">
        <v>186</v>
      </c>
      <c r="L382" s="27"/>
      <c r="M382" s="32">
        <f t="shared" si="51"/>
        <v>477</v>
      </c>
      <c r="N382" s="32" t="s">
        <v>1330</v>
      </c>
      <c r="O382" s="32"/>
      <c r="P382" s="32">
        <f t="shared" si="52"/>
        <v>476.9624</v>
      </c>
      <c r="Q382" s="32">
        <f t="shared" si="53"/>
        <v>5</v>
      </c>
      <c r="R382" s="32">
        <f t="shared" ca="1" si="54"/>
        <v>0</v>
      </c>
      <c r="S382" s="33" t="s">
        <v>105</v>
      </c>
      <c r="T382" s="34">
        <f t="shared" si="55"/>
        <v>0</v>
      </c>
      <c r="U382" s="34">
        <f t="shared" ca="1" si="56"/>
        <v>186</v>
      </c>
      <c r="V382" s="34">
        <f>-SUMPRODUCT((S$6:S381=S382)*(X$6:X381=X382))</f>
        <v>0</v>
      </c>
      <c r="W382" s="34">
        <f>-SUMPRODUCT((S$6:S381=S382)*(X$6:X381=X382)*(B$6:B381&lt;&gt;"NS"))</f>
        <v>0</v>
      </c>
      <c r="X382" s="35">
        <f t="shared" si="57"/>
        <v>477.20312999999999</v>
      </c>
      <c r="Y382" s="27">
        <v>186</v>
      </c>
      <c r="Z382" s="27">
        <v>158</v>
      </c>
      <c r="AA382" s="27">
        <v>133</v>
      </c>
      <c r="AB382" s="27">
        <v>94</v>
      </c>
      <c r="AC382" s="29">
        <v>85</v>
      </c>
      <c r="AD382" s="27"/>
      <c r="AF382" s="36">
        <v>0</v>
      </c>
      <c r="AG382" s="36">
        <v>0</v>
      </c>
      <c r="AH382" s="36">
        <v>0</v>
      </c>
      <c r="AI382" s="36">
        <v>0</v>
      </c>
      <c r="AJ382" s="37">
        <v>4</v>
      </c>
      <c r="AK382" s="38">
        <v>385.13522500000005</v>
      </c>
      <c r="AL382" s="39">
        <v>158</v>
      </c>
      <c r="AM382" s="32">
        <v>449</v>
      </c>
      <c r="AN382" s="39"/>
      <c r="AO382" s="39"/>
      <c r="AP382" s="39"/>
      <c r="AQ382" s="50"/>
      <c r="AS382" s="1"/>
    </row>
    <row r="383" spans="1:45" s="26" customFormat="1" ht="15">
      <c r="A383" s="61">
        <v>20</v>
      </c>
      <c r="B383" s="1">
        <v>19</v>
      </c>
      <c r="C383" s="1"/>
      <c r="D383" s="1"/>
      <c r="E383" s="61" t="s">
        <v>205</v>
      </c>
      <c r="F383" s="29" t="s">
        <v>25</v>
      </c>
      <c r="G383" s="29">
        <v>129</v>
      </c>
      <c r="H383" s="27">
        <v>130</v>
      </c>
      <c r="I383" s="27"/>
      <c r="J383" s="27"/>
      <c r="K383" s="27">
        <v>215</v>
      </c>
      <c r="L383" s="27"/>
      <c r="M383" s="32">
        <f t="shared" si="51"/>
        <v>474</v>
      </c>
      <c r="N383" s="32" t="s">
        <v>1330</v>
      </c>
      <c r="O383" s="32"/>
      <c r="P383" s="32">
        <f t="shared" si="52"/>
        <v>473.96230000000003</v>
      </c>
      <c r="Q383" s="32">
        <f t="shared" si="53"/>
        <v>3</v>
      </c>
      <c r="R383" s="32">
        <f t="shared" ca="1" si="54"/>
        <v>0</v>
      </c>
      <c r="S383" s="33" t="s">
        <v>105</v>
      </c>
      <c r="T383" s="34">
        <f t="shared" si="55"/>
        <v>0</v>
      </c>
      <c r="U383" s="34">
        <f t="shared" ca="1" si="56"/>
        <v>215</v>
      </c>
      <c r="V383" s="34">
        <f>-SUMPRODUCT((S$6:S382=S383)*(X$6:X382=X383))</f>
        <v>0</v>
      </c>
      <c r="W383" s="34">
        <f>-SUMPRODUCT((S$6:S382=S383)*(X$6:X382=X383)*(B$6:B382&lt;&gt;"NS"))</f>
        <v>0</v>
      </c>
      <c r="X383" s="35">
        <f t="shared" si="57"/>
        <v>474.22928999999999</v>
      </c>
      <c r="Y383" s="27">
        <v>215</v>
      </c>
      <c r="Z383" s="27">
        <v>130</v>
      </c>
      <c r="AA383" s="29">
        <v>129</v>
      </c>
      <c r="AB383" s="27"/>
      <c r="AC383" s="27"/>
      <c r="AD383" s="27"/>
      <c r="AF383" s="36">
        <v>0</v>
      </c>
      <c r="AG383" s="36">
        <v>0</v>
      </c>
      <c r="AH383" s="36">
        <v>0</v>
      </c>
      <c r="AI383" s="36">
        <v>0</v>
      </c>
      <c r="AJ383" s="37">
        <v>2</v>
      </c>
      <c r="AK383" s="38">
        <v>259.10509999999999</v>
      </c>
      <c r="AL383" s="39">
        <v>130</v>
      </c>
      <c r="AM383" s="32">
        <v>389</v>
      </c>
      <c r="AN383" s="39"/>
      <c r="AO383" s="39"/>
      <c r="AP383" s="39"/>
      <c r="AQ383" s="50"/>
      <c r="AS383" s="1"/>
    </row>
    <row r="384" spans="1:45" s="26" customFormat="1" ht="15">
      <c r="A384" s="61">
        <v>21</v>
      </c>
      <c r="B384" s="1">
        <v>20</v>
      </c>
      <c r="C384" s="1"/>
      <c r="D384" s="1"/>
      <c r="E384" s="61" t="s">
        <v>655</v>
      </c>
      <c r="F384" s="29" t="s">
        <v>134</v>
      </c>
      <c r="G384" s="29">
        <v>106</v>
      </c>
      <c r="H384" s="27">
        <v>118</v>
      </c>
      <c r="I384" s="27">
        <v>151</v>
      </c>
      <c r="J384" s="27">
        <v>167</v>
      </c>
      <c r="K384" s="27"/>
      <c r="L384" s="27"/>
      <c r="M384" s="32">
        <f t="shared" si="51"/>
        <v>436</v>
      </c>
      <c r="N384" s="32" t="s">
        <v>1330</v>
      </c>
      <c r="O384" s="32"/>
      <c r="P384" s="32">
        <f t="shared" si="52"/>
        <v>435.9622</v>
      </c>
      <c r="Q384" s="32">
        <f t="shared" si="53"/>
        <v>4</v>
      </c>
      <c r="R384" s="32">
        <f t="shared" ca="1" si="54"/>
        <v>0</v>
      </c>
      <c r="S384" s="33" t="s">
        <v>105</v>
      </c>
      <c r="T384" s="34">
        <f t="shared" si="55"/>
        <v>0</v>
      </c>
      <c r="U384" s="34">
        <f t="shared" ca="1" si="56"/>
        <v>0</v>
      </c>
      <c r="V384" s="34">
        <f>-SUMPRODUCT((S$6:S383=S384)*(X$6:X383=X384))</f>
        <v>0</v>
      </c>
      <c r="W384" s="34">
        <f>-SUMPRODUCT((S$6:S383=S384)*(X$6:X383=X384)*(B$6:B383&lt;&gt;"NS"))</f>
        <v>0</v>
      </c>
      <c r="X384" s="35">
        <f t="shared" si="57"/>
        <v>436.18328000000002</v>
      </c>
      <c r="Y384" s="27">
        <v>167</v>
      </c>
      <c r="Z384" s="27">
        <v>151</v>
      </c>
      <c r="AA384" s="27">
        <v>118</v>
      </c>
      <c r="AB384" s="29">
        <v>106</v>
      </c>
      <c r="AC384" s="27"/>
      <c r="AD384" s="27"/>
      <c r="AF384" s="36">
        <v>0</v>
      </c>
      <c r="AG384" s="36">
        <v>0</v>
      </c>
      <c r="AH384" s="36">
        <v>0</v>
      </c>
      <c r="AI384" s="36">
        <v>0</v>
      </c>
      <c r="AJ384" s="37">
        <v>4</v>
      </c>
      <c r="AK384" s="38">
        <v>436.14658599999996</v>
      </c>
      <c r="AL384" s="39">
        <v>167</v>
      </c>
      <c r="AM384" s="32">
        <v>485</v>
      </c>
      <c r="AN384" s="39"/>
      <c r="AO384" s="39"/>
      <c r="AP384" s="39"/>
      <c r="AQ384" s="50"/>
      <c r="AS384" s="1"/>
    </row>
    <row r="385" spans="1:45" s="26" customFormat="1" ht="15">
      <c r="A385" s="61">
        <v>22</v>
      </c>
      <c r="B385" s="1">
        <v>21</v>
      </c>
      <c r="C385" s="1"/>
      <c r="D385" s="1"/>
      <c r="E385" s="61" t="s">
        <v>285</v>
      </c>
      <c r="F385" s="29" t="s">
        <v>118</v>
      </c>
      <c r="G385" s="29"/>
      <c r="H385" s="27"/>
      <c r="I385" s="27">
        <v>116</v>
      </c>
      <c r="J385" s="27">
        <v>132</v>
      </c>
      <c r="K385" s="27">
        <v>178</v>
      </c>
      <c r="L385" s="27"/>
      <c r="M385" s="32">
        <f t="shared" si="51"/>
        <v>426</v>
      </c>
      <c r="N385" s="32" t="s">
        <v>1330</v>
      </c>
      <c r="O385" s="32"/>
      <c r="P385" s="32">
        <f t="shared" si="52"/>
        <v>425.96210000000002</v>
      </c>
      <c r="Q385" s="32">
        <f t="shared" si="53"/>
        <v>3</v>
      </c>
      <c r="R385" s="32">
        <f t="shared" ca="1" si="54"/>
        <v>0</v>
      </c>
      <c r="S385" s="33" t="s">
        <v>105</v>
      </c>
      <c r="T385" s="34">
        <f t="shared" si="55"/>
        <v>0</v>
      </c>
      <c r="U385" s="34">
        <f t="shared" ca="1" si="56"/>
        <v>178</v>
      </c>
      <c r="V385" s="34">
        <f>-SUMPRODUCT((S$6:S384=S385)*(X$6:X384=X385))</f>
        <v>0</v>
      </c>
      <c r="W385" s="34">
        <f>-SUMPRODUCT((S$6:S384=S385)*(X$6:X384=X385)*(B$6:B384&lt;&gt;"NS"))</f>
        <v>0</v>
      </c>
      <c r="X385" s="35">
        <f t="shared" si="57"/>
        <v>426.19236000000001</v>
      </c>
      <c r="Y385" s="27">
        <v>178</v>
      </c>
      <c r="Z385" s="27">
        <v>132</v>
      </c>
      <c r="AA385" s="27">
        <v>116</v>
      </c>
      <c r="AB385" s="29"/>
      <c r="AC385" s="27"/>
      <c r="AD385" s="27"/>
      <c r="AF385" s="36">
        <v>0</v>
      </c>
      <c r="AG385" s="36">
        <v>0</v>
      </c>
      <c r="AH385" s="36">
        <v>0</v>
      </c>
      <c r="AI385" s="36">
        <v>0</v>
      </c>
      <c r="AJ385" s="37">
        <v>2</v>
      </c>
      <c r="AK385" s="38">
        <v>248.10559999999998</v>
      </c>
      <c r="AL385" s="39">
        <v>132</v>
      </c>
      <c r="AM385" s="32">
        <v>380</v>
      </c>
      <c r="AN385" s="39"/>
      <c r="AO385" s="39"/>
      <c r="AP385" s="39"/>
      <c r="AQ385" s="50"/>
      <c r="AS385" s="1"/>
    </row>
    <row r="386" spans="1:45" s="26" customFormat="1" ht="15">
      <c r="A386" s="61">
        <v>23</v>
      </c>
      <c r="B386" s="1">
        <v>22</v>
      </c>
      <c r="C386" s="1"/>
      <c r="D386" s="1"/>
      <c r="E386" s="61" t="s">
        <v>305</v>
      </c>
      <c r="F386" s="29" t="s">
        <v>88</v>
      </c>
      <c r="G386" s="29"/>
      <c r="H386" s="27"/>
      <c r="I386" s="27">
        <v>108</v>
      </c>
      <c r="J386" s="27">
        <v>148</v>
      </c>
      <c r="K386" s="27">
        <v>166</v>
      </c>
      <c r="L386" s="27"/>
      <c r="M386" s="32">
        <f t="shared" si="51"/>
        <v>422</v>
      </c>
      <c r="N386" s="32" t="s">
        <v>1330</v>
      </c>
      <c r="O386" s="32"/>
      <c r="P386" s="32">
        <f t="shared" si="52"/>
        <v>421.96199999999999</v>
      </c>
      <c r="Q386" s="32">
        <f t="shared" si="53"/>
        <v>3</v>
      </c>
      <c r="R386" s="32">
        <f t="shared" ca="1" si="54"/>
        <v>0</v>
      </c>
      <c r="S386" s="33" t="s">
        <v>105</v>
      </c>
      <c r="T386" s="34">
        <f t="shared" si="55"/>
        <v>0</v>
      </c>
      <c r="U386" s="34">
        <f t="shared" ca="1" si="56"/>
        <v>166</v>
      </c>
      <c r="V386" s="34">
        <f>-SUMPRODUCT((S$6:S385=S386)*(X$6:X385=X386))</f>
        <v>0</v>
      </c>
      <c r="W386" s="34">
        <f>-SUMPRODUCT((S$6:S385=S386)*(X$6:X385=X386)*(B$6:B385&lt;&gt;"NS"))</f>
        <v>0</v>
      </c>
      <c r="X386" s="35">
        <f t="shared" si="57"/>
        <v>422.18187999999998</v>
      </c>
      <c r="Y386" s="27">
        <v>166</v>
      </c>
      <c r="Z386" s="27">
        <v>148</v>
      </c>
      <c r="AA386" s="27">
        <v>108</v>
      </c>
      <c r="AB386" s="29"/>
      <c r="AC386" s="27"/>
      <c r="AD386" s="27"/>
      <c r="AF386" s="36">
        <v>0</v>
      </c>
      <c r="AG386" s="36">
        <v>0</v>
      </c>
      <c r="AH386" s="36">
        <v>0</v>
      </c>
      <c r="AI386" s="36">
        <v>0</v>
      </c>
      <c r="AJ386" s="37">
        <v>2</v>
      </c>
      <c r="AK386" s="38">
        <v>256.12090000000001</v>
      </c>
      <c r="AL386" s="39">
        <v>148</v>
      </c>
      <c r="AM386" s="32">
        <v>404</v>
      </c>
      <c r="AN386" s="39"/>
      <c r="AO386" s="39"/>
      <c r="AP386" s="39"/>
      <c r="AQ386" s="50"/>
      <c r="AS386" s="1"/>
    </row>
    <row r="387" spans="1:45" s="26" customFormat="1" ht="15">
      <c r="A387" s="61">
        <v>24</v>
      </c>
      <c r="B387" s="1" t="s">
        <v>111</v>
      </c>
      <c r="C387" s="1"/>
      <c r="D387" s="1"/>
      <c r="E387" s="61" t="s">
        <v>280</v>
      </c>
      <c r="F387" s="29" t="s">
        <v>201</v>
      </c>
      <c r="G387" s="29">
        <v>70</v>
      </c>
      <c r="H387" s="27">
        <v>87</v>
      </c>
      <c r="I387" s="27"/>
      <c r="J387" s="27">
        <v>151</v>
      </c>
      <c r="K387" s="27">
        <v>182</v>
      </c>
      <c r="L387" s="27"/>
      <c r="M387" s="32">
        <f t="shared" si="51"/>
        <v>420</v>
      </c>
      <c r="N387" s="32" t="s">
        <v>1331</v>
      </c>
      <c r="O387" s="32"/>
      <c r="P387" s="32">
        <f t="shared" si="52"/>
        <v>419.96190000000001</v>
      </c>
      <c r="Q387" s="32">
        <f t="shared" si="53"/>
        <v>4</v>
      </c>
      <c r="R387" s="32">
        <f t="shared" ca="1" si="54"/>
        <v>0</v>
      </c>
      <c r="S387" s="33" t="s">
        <v>105</v>
      </c>
      <c r="T387" s="34">
        <f t="shared" si="55"/>
        <v>0</v>
      </c>
      <c r="U387" s="34">
        <f t="shared" ca="1" si="56"/>
        <v>182</v>
      </c>
      <c r="V387" s="34">
        <f>-SUMPRODUCT((S$6:S386=S387)*(X$6:X386=X387))</f>
        <v>0</v>
      </c>
      <c r="W387" s="34">
        <f>-SUMPRODUCT((S$6:S386=S387)*(X$6:X386=X387)*(B$6:B386&lt;&gt;"NS"))</f>
        <v>0</v>
      </c>
      <c r="X387" s="35">
        <f t="shared" si="57"/>
        <v>420.19797</v>
      </c>
      <c r="Y387" s="27">
        <v>182</v>
      </c>
      <c r="Z387" s="27">
        <v>151</v>
      </c>
      <c r="AA387" s="27">
        <v>87</v>
      </c>
      <c r="AB387" s="29">
        <v>70</v>
      </c>
      <c r="AC387" s="27"/>
      <c r="AD387" s="27"/>
      <c r="AF387" s="36">
        <v>0</v>
      </c>
      <c r="AG387" s="36">
        <v>0</v>
      </c>
      <c r="AH387" s="36">
        <v>0</v>
      </c>
      <c r="AI387" s="36">
        <v>0</v>
      </c>
      <c r="AJ387" s="37">
        <v>3</v>
      </c>
      <c r="AK387" s="38">
        <v>308.12289999999996</v>
      </c>
      <c r="AL387" s="39">
        <v>151</v>
      </c>
      <c r="AM387" s="32">
        <v>0</v>
      </c>
      <c r="AN387" s="39"/>
      <c r="AO387" s="39"/>
      <c r="AP387" s="39"/>
      <c r="AQ387" s="50"/>
      <c r="AS387" s="1"/>
    </row>
    <row r="388" spans="1:45" s="26" customFormat="1" ht="15">
      <c r="A388" s="61">
        <v>25</v>
      </c>
      <c r="B388" s="1">
        <v>23</v>
      </c>
      <c r="C388" s="1"/>
      <c r="D388" s="1"/>
      <c r="E388" s="61" t="s">
        <v>207</v>
      </c>
      <c r="F388" s="29" t="s">
        <v>50</v>
      </c>
      <c r="G388" s="29"/>
      <c r="H388" s="27"/>
      <c r="I388" s="27"/>
      <c r="J388" s="27">
        <v>203</v>
      </c>
      <c r="K388" s="27">
        <v>213</v>
      </c>
      <c r="L388" s="27"/>
      <c r="M388" s="32">
        <f t="shared" si="51"/>
        <v>416</v>
      </c>
      <c r="N388" s="32" t="s">
        <v>1330</v>
      </c>
      <c r="O388" s="32"/>
      <c r="P388" s="32">
        <f t="shared" si="52"/>
        <v>415.96179999999998</v>
      </c>
      <c r="Q388" s="32">
        <f t="shared" si="53"/>
        <v>2</v>
      </c>
      <c r="R388" s="32">
        <f t="shared" ca="1" si="54"/>
        <v>0</v>
      </c>
      <c r="S388" s="33" t="s">
        <v>105</v>
      </c>
      <c r="T388" s="34">
        <f t="shared" si="55"/>
        <v>0</v>
      </c>
      <c r="U388" s="34">
        <f t="shared" ca="1" si="56"/>
        <v>213</v>
      </c>
      <c r="V388" s="34">
        <f>-SUMPRODUCT((S$6:S387=S388)*(X$6:X387=X388))</f>
        <v>0</v>
      </c>
      <c r="W388" s="34">
        <f>-SUMPRODUCT((S$6:S387=S388)*(X$6:X387=X388)*(B$6:B387&lt;&gt;"NS"))</f>
        <v>0</v>
      </c>
      <c r="X388" s="35">
        <f t="shared" si="57"/>
        <v>416.23329999999999</v>
      </c>
      <c r="Y388" s="27">
        <v>213</v>
      </c>
      <c r="Z388" s="27">
        <v>203</v>
      </c>
      <c r="AA388" s="29"/>
      <c r="AB388" s="27"/>
      <c r="AC388" s="27"/>
      <c r="AD388" s="27"/>
      <c r="AF388" s="36">
        <v>0</v>
      </c>
      <c r="AG388" s="36">
        <v>0</v>
      </c>
      <c r="AH388" s="36">
        <v>0</v>
      </c>
      <c r="AI388" s="36">
        <v>0</v>
      </c>
      <c r="AJ388" s="37">
        <v>1</v>
      </c>
      <c r="AK388" s="38">
        <v>203.16460000000001</v>
      </c>
      <c r="AL388" s="39">
        <v>203</v>
      </c>
      <c r="AM388" s="32">
        <v>406</v>
      </c>
      <c r="AN388" s="39"/>
      <c r="AO388" s="39"/>
      <c r="AP388" s="39"/>
      <c r="AQ388" s="50"/>
      <c r="AS388" s="1"/>
    </row>
    <row r="389" spans="1:45" s="26" customFormat="1" ht="15">
      <c r="A389" s="61">
        <v>26</v>
      </c>
      <c r="B389" s="1">
        <v>24</v>
      </c>
      <c r="C389" s="1"/>
      <c r="D389" s="1"/>
      <c r="E389" s="61" t="s">
        <v>264</v>
      </c>
      <c r="F389" s="29" t="s">
        <v>47</v>
      </c>
      <c r="G389" s="29">
        <v>87</v>
      </c>
      <c r="H389" s="27"/>
      <c r="I389" s="27">
        <v>125</v>
      </c>
      <c r="J389" s="27"/>
      <c r="K389" s="27">
        <v>188</v>
      </c>
      <c r="L389" s="27"/>
      <c r="M389" s="32">
        <f t="shared" si="51"/>
        <v>400</v>
      </c>
      <c r="N389" s="32" t="s">
        <v>1330</v>
      </c>
      <c r="O389" s="32"/>
      <c r="P389" s="32">
        <f t="shared" si="52"/>
        <v>399.96170000000001</v>
      </c>
      <c r="Q389" s="32">
        <f t="shared" si="53"/>
        <v>3</v>
      </c>
      <c r="R389" s="32">
        <f t="shared" ca="1" si="54"/>
        <v>0</v>
      </c>
      <c r="S389" s="33" t="s">
        <v>105</v>
      </c>
      <c r="T389" s="34">
        <f t="shared" si="55"/>
        <v>0</v>
      </c>
      <c r="U389" s="34">
        <f t="shared" ca="1" si="56"/>
        <v>188</v>
      </c>
      <c r="V389" s="34">
        <f>-SUMPRODUCT((S$6:S388=S389)*(X$6:X388=X389))</f>
        <v>0</v>
      </c>
      <c r="W389" s="34">
        <f>-SUMPRODUCT((S$6:S388=S389)*(X$6:X388=X389)*(B$6:B388&lt;&gt;"NS"))</f>
        <v>0</v>
      </c>
      <c r="X389" s="35">
        <f t="shared" si="57"/>
        <v>400.20137</v>
      </c>
      <c r="Y389" s="27">
        <v>188</v>
      </c>
      <c r="Z389" s="27">
        <v>125</v>
      </c>
      <c r="AA389" s="29">
        <v>87</v>
      </c>
      <c r="AB389" s="27"/>
      <c r="AC389" s="27"/>
      <c r="AD389" s="27"/>
      <c r="AF389" s="36">
        <v>0</v>
      </c>
      <c r="AG389" s="36">
        <v>0</v>
      </c>
      <c r="AH389" s="36">
        <v>0</v>
      </c>
      <c r="AI389" s="36">
        <v>0</v>
      </c>
      <c r="AJ389" s="37">
        <v>2</v>
      </c>
      <c r="AK389" s="38">
        <v>212.09540000000001</v>
      </c>
      <c r="AL389" s="39">
        <v>125</v>
      </c>
      <c r="AM389" s="32">
        <v>337</v>
      </c>
      <c r="AN389" s="39"/>
      <c r="AO389" s="39"/>
      <c r="AP389" s="39"/>
      <c r="AQ389" s="50"/>
      <c r="AS389" s="1"/>
    </row>
    <row r="390" spans="1:45" s="26" customFormat="1" ht="15">
      <c r="A390" s="61">
        <v>27</v>
      </c>
      <c r="B390" s="1">
        <v>25</v>
      </c>
      <c r="C390" s="1"/>
      <c r="D390" s="1"/>
      <c r="E390" s="61" t="s">
        <v>656</v>
      </c>
      <c r="F390" s="29" t="s">
        <v>50</v>
      </c>
      <c r="G390" s="29">
        <v>184</v>
      </c>
      <c r="H390" s="27"/>
      <c r="I390" s="27">
        <v>200</v>
      </c>
      <c r="J390" s="27"/>
      <c r="K390" s="27"/>
      <c r="L390" s="27"/>
      <c r="M390" s="32">
        <f t="shared" si="51"/>
        <v>384</v>
      </c>
      <c r="N390" s="32" t="s">
        <v>1330</v>
      </c>
      <c r="O390" s="32"/>
      <c r="P390" s="32">
        <f t="shared" si="52"/>
        <v>383.96159999999998</v>
      </c>
      <c r="Q390" s="32">
        <f t="shared" si="53"/>
        <v>2</v>
      </c>
      <c r="R390" s="32">
        <f t="shared" ca="1" si="54"/>
        <v>0</v>
      </c>
      <c r="S390" s="33" t="s">
        <v>105</v>
      </c>
      <c r="T390" s="34">
        <f t="shared" si="55"/>
        <v>0</v>
      </c>
      <c r="U390" s="34">
        <f t="shared" ca="1" si="56"/>
        <v>0</v>
      </c>
      <c r="V390" s="34">
        <f>-SUMPRODUCT((S$6:S389=S390)*(X$6:X389=X390))</f>
        <v>0</v>
      </c>
      <c r="W390" s="34">
        <f>-SUMPRODUCT((S$6:S389=S390)*(X$6:X389=X390)*(B$6:B389&lt;&gt;"NS"))</f>
        <v>0</v>
      </c>
      <c r="X390" s="35">
        <f t="shared" si="57"/>
        <v>384.21839999999997</v>
      </c>
      <c r="Y390" s="27">
        <v>200</v>
      </c>
      <c r="Z390" s="29">
        <v>184</v>
      </c>
      <c r="AA390" s="27"/>
      <c r="AB390" s="27"/>
      <c r="AC390" s="27"/>
      <c r="AD390" s="27"/>
      <c r="AF390" s="36">
        <v>0</v>
      </c>
      <c r="AG390" s="36">
        <v>0</v>
      </c>
      <c r="AH390" s="36">
        <v>0</v>
      </c>
      <c r="AI390" s="36">
        <v>0</v>
      </c>
      <c r="AJ390" s="37">
        <v>2</v>
      </c>
      <c r="AK390" s="38">
        <v>384.18119999999999</v>
      </c>
      <c r="AL390" s="39">
        <v>200</v>
      </c>
      <c r="AM390" s="32">
        <v>584</v>
      </c>
      <c r="AN390" s="39"/>
      <c r="AO390" s="39"/>
      <c r="AP390" s="39"/>
      <c r="AQ390" s="50"/>
      <c r="AS390" s="1"/>
    </row>
    <row r="391" spans="1:45" s="26" customFormat="1" ht="15">
      <c r="A391" s="61">
        <v>28</v>
      </c>
      <c r="B391" s="1">
        <v>26</v>
      </c>
      <c r="C391" s="1"/>
      <c r="D391" s="1"/>
      <c r="E391" s="61" t="s">
        <v>302</v>
      </c>
      <c r="F391" s="29" t="s">
        <v>50</v>
      </c>
      <c r="G391" s="29">
        <v>45</v>
      </c>
      <c r="H391" s="27">
        <v>64</v>
      </c>
      <c r="I391" s="27">
        <v>92</v>
      </c>
      <c r="J391" s="27">
        <v>120</v>
      </c>
      <c r="K391" s="27">
        <v>169</v>
      </c>
      <c r="L391" s="27"/>
      <c r="M391" s="32">
        <f t="shared" si="51"/>
        <v>381</v>
      </c>
      <c r="N391" s="32" t="s">
        <v>1330</v>
      </c>
      <c r="O391" s="32"/>
      <c r="P391" s="32">
        <f t="shared" si="52"/>
        <v>380.9615</v>
      </c>
      <c r="Q391" s="32">
        <f t="shared" si="53"/>
        <v>5</v>
      </c>
      <c r="R391" s="32">
        <f t="shared" ca="1" si="54"/>
        <v>0</v>
      </c>
      <c r="S391" s="33" t="s">
        <v>105</v>
      </c>
      <c r="T391" s="34">
        <f t="shared" si="55"/>
        <v>0</v>
      </c>
      <c r="U391" s="34">
        <f t="shared" ca="1" si="56"/>
        <v>169</v>
      </c>
      <c r="V391" s="34">
        <f>-SUMPRODUCT((S$6:S390=S391)*(X$6:X390=X391))</f>
        <v>0</v>
      </c>
      <c r="W391" s="34">
        <f>-SUMPRODUCT((S$6:S390=S391)*(X$6:X390=X391)*(B$6:B390&lt;&gt;"NS"))</f>
        <v>0</v>
      </c>
      <c r="X391" s="35">
        <f t="shared" si="57"/>
        <v>381.18191999999999</v>
      </c>
      <c r="Y391" s="27">
        <v>169</v>
      </c>
      <c r="Z391" s="27">
        <v>120</v>
      </c>
      <c r="AA391" s="27">
        <v>92</v>
      </c>
      <c r="AB391" s="27">
        <v>64</v>
      </c>
      <c r="AC391" s="29">
        <v>45</v>
      </c>
      <c r="AD391" s="27"/>
      <c r="AF391" s="36">
        <v>0</v>
      </c>
      <c r="AG391" s="36">
        <v>0</v>
      </c>
      <c r="AH391" s="36">
        <v>0</v>
      </c>
      <c r="AI391" s="36">
        <v>0</v>
      </c>
      <c r="AJ391" s="37">
        <v>4</v>
      </c>
      <c r="AK391" s="38">
        <v>276.092285</v>
      </c>
      <c r="AL391" s="39">
        <v>120</v>
      </c>
      <c r="AM391" s="32">
        <v>332</v>
      </c>
      <c r="AN391" s="39"/>
      <c r="AO391" s="39"/>
      <c r="AP391" s="39"/>
      <c r="AQ391" s="50"/>
      <c r="AS391" s="1"/>
    </row>
    <row r="392" spans="1:45" s="26" customFormat="1" ht="15">
      <c r="A392" s="61">
        <v>29</v>
      </c>
      <c r="B392" s="1">
        <v>27</v>
      </c>
      <c r="C392" s="1"/>
      <c r="D392" s="1"/>
      <c r="E392" s="61" t="s">
        <v>657</v>
      </c>
      <c r="F392" s="29" t="s">
        <v>84</v>
      </c>
      <c r="G392" s="29">
        <v>180</v>
      </c>
      <c r="H392" s="27">
        <v>194</v>
      </c>
      <c r="I392" s="27"/>
      <c r="J392" s="27"/>
      <c r="K392" s="27"/>
      <c r="L392" s="27"/>
      <c r="M392" s="32">
        <f t="shared" si="51"/>
        <v>374</v>
      </c>
      <c r="N392" s="32" t="s">
        <v>1330</v>
      </c>
      <c r="O392" s="32"/>
      <c r="P392" s="32">
        <f t="shared" si="52"/>
        <v>373.96140000000003</v>
      </c>
      <c r="Q392" s="32">
        <f t="shared" si="53"/>
        <v>2</v>
      </c>
      <c r="R392" s="32">
        <f t="shared" ca="1" si="54"/>
        <v>0</v>
      </c>
      <c r="S392" s="33" t="s">
        <v>105</v>
      </c>
      <c r="T392" s="34">
        <f t="shared" si="55"/>
        <v>0</v>
      </c>
      <c r="U392" s="34">
        <f t="shared" ca="1" si="56"/>
        <v>0</v>
      </c>
      <c r="V392" s="34">
        <f>-SUMPRODUCT((S$6:S391=S392)*(X$6:X391=X392))</f>
        <v>0</v>
      </c>
      <c r="W392" s="34">
        <f>-SUMPRODUCT((S$6:S391=S392)*(X$6:X391=X392)*(B$6:B391&lt;&gt;"NS"))</f>
        <v>0</v>
      </c>
      <c r="X392" s="35">
        <f t="shared" si="57"/>
        <v>374.21199999999999</v>
      </c>
      <c r="Y392" s="27">
        <v>194</v>
      </c>
      <c r="Z392" s="29">
        <v>180</v>
      </c>
      <c r="AA392" s="27"/>
      <c r="AB392" s="27"/>
      <c r="AC392" s="27"/>
      <c r="AD392" s="27"/>
      <c r="AF392" s="36">
        <v>0</v>
      </c>
      <c r="AG392" s="36">
        <v>0</v>
      </c>
      <c r="AH392" s="36">
        <v>0</v>
      </c>
      <c r="AI392" s="36">
        <v>0</v>
      </c>
      <c r="AJ392" s="37">
        <v>2</v>
      </c>
      <c r="AK392" s="38">
        <v>374.17469999999997</v>
      </c>
      <c r="AL392" s="39">
        <v>194</v>
      </c>
      <c r="AM392" s="32">
        <v>568</v>
      </c>
      <c r="AN392" s="39"/>
      <c r="AO392" s="39"/>
      <c r="AP392" s="39"/>
      <c r="AQ392" s="50"/>
      <c r="AS392" s="1"/>
    </row>
    <row r="393" spans="1:45" s="26" customFormat="1" ht="15">
      <c r="A393" s="61">
        <v>30</v>
      </c>
      <c r="B393" s="1">
        <v>28</v>
      </c>
      <c r="C393" s="1"/>
      <c r="D393" s="1"/>
      <c r="E393" s="61" t="s">
        <v>214</v>
      </c>
      <c r="F393" s="29" t="s">
        <v>93</v>
      </c>
      <c r="G393" s="29"/>
      <c r="H393" s="27"/>
      <c r="I393" s="27">
        <v>163</v>
      </c>
      <c r="J393" s="27"/>
      <c r="K393" s="27">
        <v>209</v>
      </c>
      <c r="L393" s="27"/>
      <c r="M393" s="32">
        <f t="shared" si="51"/>
        <v>372</v>
      </c>
      <c r="N393" s="32" t="s">
        <v>1330</v>
      </c>
      <c r="O393" s="32"/>
      <c r="P393" s="32">
        <f t="shared" si="52"/>
        <v>371.96129999999999</v>
      </c>
      <c r="Q393" s="32">
        <f t="shared" si="53"/>
        <v>2</v>
      </c>
      <c r="R393" s="32">
        <f t="shared" ca="1" si="54"/>
        <v>0</v>
      </c>
      <c r="S393" s="33" t="s">
        <v>105</v>
      </c>
      <c r="T393" s="34">
        <f t="shared" si="55"/>
        <v>0</v>
      </c>
      <c r="U393" s="34">
        <f t="shared" ca="1" si="56"/>
        <v>209</v>
      </c>
      <c r="V393" s="34">
        <f>-SUMPRODUCT((S$6:S392=S393)*(X$6:X392=X393))</f>
        <v>0</v>
      </c>
      <c r="W393" s="34">
        <f>-SUMPRODUCT((S$6:S392=S393)*(X$6:X392=X393)*(B$6:B392&lt;&gt;"NS"))</f>
        <v>0</v>
      </c>
      <c r="X393" s="35">
        <f t="shared" si="57"/>
        <v>372.2253</v>
      </c>
      <c r="Y393" s="27">
        <v>209</v>
      </c>
      <c r="Z393" s="27">
        <v>163</v>
      </c>
      <c r="AA393" s="29"/>
      <c r="AB393" s="27"/>
      <c r="AC393" s="27"/>
      <c r="AD393" s="27"/>
      <c r="AF393" s="36">
        <v>0</v>
      </c>
      <c r="AG393" s="36">
        <v>0</v>
      </c>
      <c r="AH393" s="36">
        <v>0</v>
      </c>
      <c r="AI393" s="36">
        <v>0</v>
      </c>
      <c r="AJ393" s="37">
        <v>1</v>
      </c>
      <c r="AK393" s="38">
        <v>163.12450000000001</v>
      </c>
      <c r="AL393" s="39">
        <v>163</v>
      </c>
      <c r="AM393" s="32">
        <v>326</v>
      </c>
      <c r="AN393" s="39"/>
      <c r="AO393" s="39"/>
      <c r="AP393" s="39"/>
      <c r="AQ393" s="50"/>
      <c r="AS393" s="1"/>
    </row>
    <row r="394" spans="1:45" s="26" customFormat="1" ht="15">
      <c r="A394" s="61">
        <v>31</v>
      </c>
      <c r="B394" s="1">
        <v>29</v>
      </c>
      <c r="C394" s="1"/>
      <c r="D394" s="1"/>
      <c r="E394" s="61" t="s">
        <v>658</v>
      </c>
      <c r="F394" s="29" t="s">
        <v>93</v>
      </c>
      <c r="G394" s="29"/>
      <c r="H394" s="27"/>
      <c r="I394" s="27">
        <v>184</v>
      </c>
      <c r="J394" s="27">
        <v>182</v>
      </c>
      <c r="K394" s="27"/>
      <c r="L394" s="27"/>
      <c r="M394" s="32">
        <f t="shared" si="51"/>
        <v>366</v>
      </c>
      <c r="N394" s="32" t="s">
        <v>1330</v>
      </c>
      <c r="O394" s="32"/>
      <c r="P394" s="32">
        <f t="shared" si="52"/>
        <v>365.96120000000002</v>
      </c>
      <c r="Q394" s="32">
        <f t="shared" si="53"/>
        <v>2</v>
      </c>
      <c r="R394" s="32">
        <f t="shared" ca="1" si="54"/>
        <v>0</v>
      </c>
      <c r="S394" s="33" t="s">
        <v>105</v>
      </c>
      <c r="T394" s="34">
        <f t="shared" si="55"/>
        <v>0</v>
      </c>
      <c r="U394" s="34">
        <f t="shared" ca="1" si="56"/>
        <v>0</v>
      </c>
      <c r="V394" s="34">
        <f>-SUMPRODUCT((S$6:S393=S394)*(X$6:X393=X394))</f>
        <v>0</v>
      </c>
      <c r="W394" s="34">
        <f>-SUMPRODUCT((S$6:S393=S394)*(X$6:X393=X394)*(B$6:B393&lt;&gt;"NS"))</f>
        <v>0</v>
      </c>
      <c r="X394" s="35">
        <f t="shared" si="57"/>
        <v>366.2022</v>
      </c>
      <c r="Y394" s="27">
        <v>184</v>
      </c>
      <c r="Z394" s="27">
        <v>182</v>
      </c>
      <c r="AA394" s="29"/>
      <c r="AB394" s="27"/>
      <c r="AC394" s="27"/>
      <c r="AD394" s="27"/>
      <c r="AF394" s="36">
        <v>0</v>
      </c>
      <c r="AG394" s="36">
        <v>0</v>
      </c>
      <c r="AH394" s="36">
        <v>0</v>
      </c>
      <c r="AI394" s="36">
        <v>0</v>
      </c>
      <c r="AJ394" s="37">
        <v>2</v>
      </c>
      <c r="AK394" s="38">
        <v>366.16480000000001</v>
      </c>
      <c r="AL394" s="39">
        <v>184</v>
      </c>
      <c r="AM394" s="32">
        <v>550</v>
      </c>
      <c r="AN394" s="39"/>
      <c r="AO394" s="39"/>
      <c r="AP394" s="39"/>
      <c r="AQ394" s="50"/>
      <c r="AS394" s="1"/>
    </row>
    <row r="395" spans="1:45" s="26" customFormat="1" ht="15">
      <c r="A395" s="61">
        <v>32</v>
      </c>
      <c r="B395" s="1">
        <v>30</v>
      </c>
      <c r="C395" s="1"/>
      <c r="D395" s="1"/>
      <c r="E395" s="61" t="s">
        <v>286</v>
      </c>
      <c r="F395" s="29" t="s">
        <v>69</v>
      </c>
      <c r="G395" s="29">
        <v>74</v>
      </c>
      <c r="H395" s="27">
        <v>85</v>
      </c>
      <c r="I395" s="27"/>
      <c r="J395" s="27"/>
      <c r="K395" s="27">
        <v>177</v>
      </c>
      <c r="L395" s="27"/>
      <c r="M395" s="32">
        <f t="shared" si="51"/>
        <v>336</v>
      </c>
      <c r="N395" s="32" t="s">
        <v>1330</v>
      </c>
      <c r="O395" s="32"/>
      <c r="P395" s="32">
        <f t="shared" si="52"/>
        <v>335.96109999999999</v>
      </c>
      <c r="Q395" s="32">
        <f t="shared" si="53"/>
        <v>3</v>
      </c>
      <c r="R395" s="32">
        <f t="shared" ca="1" si="54"/>
        <v>0</v>
      </c>
      <c r="S395" s="33" t="s">
        <v>105</v>
      </c>
      <c r="T395" s="34">
        <f t="shared" si="55"/>
        <v>0</v>
      </c>
      <c r="U395" s="34">
        <f t="shared" ca="1" si="56"/>
        <v>177</v>
      </c>
      <c r="V395" s="34">
        <f>-SUMPRODUCT((S$6:S394=S395)*(X$6:X394=X395))</f>
        <v>0</v>
      </c>
      <c r="W395" s="34">
        <f>-SUMPRODUCT((S$6:S394=S395)*(X$6:X394=X395)*(B$6:B394&lt;&gt;"NS"))</f>
        <v>0</v>
      </c>
      <c r="X395" s="35">
        <f t="shared" si="57"/>
        <v>336.18624</v>
      </c>
      <c r="Y395" s="27">
        <v>177</v>
      </c>
      <c r="Z395" s="27">
        <v>85</v>
      </c>
      <c r="AA395" s="29">
        <v>74</v>
      </c>
      <c r="AB395" s="27"/>
      <c r="AC395" s="27"/>
      <c r="AD395" s="27"/>
      <c r="AF395" s="36">
        <v>0</v>
      </c>
      <c r="AG395" s="36">
        <v>0</v>
      </c>
      <c r="AH395" s="36">
        <v>0</v>
      </c>
      <c r="AI395" s="36">
        <v>0</v>
      </c>
      <c r="AJ395" s="37">
        <v>2</v>
      </c>
      <c r="AK395" s="38">
        <v>159.05349999999999</v>
      </c>
      <c r="AL395" s="39">
        <v>85</v>
      </c>
      <c r="AM395" s="32">
        <v>244</v>
      </c>
      <c r="AN395" s="39"/>
      <c r="AO395" s="39"/>
      <c r="AP395" s="39"/>
      <c r="AQ395" s="50"/>
      <c r="AS395" s="1"/>
    </row>
    <row r="396" spans="1:45" s="26" customFormat="1" ht="15">
      <c r="A396" s="61">
        <v>33</v>
      </c>
      <c r="B396" s="1">
        <v>31</v>
      </c>
      <c r="C396" s="1"/>
      <c r="D396" s="1"/>
      <c r="E396" s="61" t="s">
        <v>659</v>
      </c>
      <c r="F396" s="29" t="s">
        <v>53</v>
      </c>
      <c r="G396" s="29"/>
      <c r="H396" s="27"/>
      <c r="I396" s="27">
        <v>134</v>
      </c>
      <c r="J396" s="27">
        <v>136</v>
      </c>
      <c r="K396" s="27"/>
      <c r="L396" s="27"/>
      <c r="M396" s="32">
        <f t="shared" si="51"/>
        <v>270</v>
      </c>
      <c r="N396" s="32" t="s">
        <v>1330</v>
      </c>
      <c r="O396" s="32"/>
      <c r="P396" s="32">
        <f t="shared" si="52"/>
        <v>269.96100000000001</v>
      </c>
      <c r="Q396" s="32">
        <f t="shared" si="53"/>
        <v>2</v>
      </c>
      <c r="R396" s="32">
        <f t="shared" ca="1" si="54"/>
        <v>0</v>
      </c>
      <c r="S396" s="33" t="s">
        <v>105</v>
      </c>
      <c r="T396" s="34">
        <f t="shared" si="55"/>
        <v>0</v>
      </c>
      <c r="U396" s="34">
        <f t="shared" ca="1" si="56"/>
        <v>0</v>
      </c>
      <c r="V396" s="34">
        <f>-SUMPRODUCT((S$6:S395=S396)*(X$6:X395=X396))</f>
        <v>0</v>
      </c>
      <c r="W396" s="34">
        <f>-SUMPRODUCT((S$6:S395=S396)*(X$6:X395=X396)*(B$6:B395&lt;&gt;"NS"))</f>
        <v>0</v>
      </c>
      <c r="X396" s="35">
        <f t="shared" si="57"/>
        <v>270.14940000000001</v>
      </c>
      <c r="Y396" s="27">
        <v>136</v>
      </c>
      <c r="Z396" s="27">
        <v>134</v>
      </c>
      <c r="AA396" s="29"/>
      <c r="AB396" s="27"/>
      <c r="AC396" s="27"/>
      <c r="AD396" s="27"/>
      <c r="AF396" s="36">
        <v>0</v>
      </c>
      <c r="AG396" s="36">
        <v>0</v>
      </c>
      <c r="AH396" s="36">
        <v>0</v>
      </c>
      <c r="AI396" s="36">
        <v>0</v>
      </c>
      <c r="AJ396" s="37">
        <v>2</v>
      </c>
      <c r="AK396" s="38">
        <v>270.11170000000004</v>
      </c>
      <c r="AL396" s="39">
        <v>136</v>
      </c>
      <c r="AM396" s="32">
        <v>406</v>
      </c>
      <c r="AN396" s="39"/>
      <c r="AO396" s="39"/>
      <c r="AP396" s="39"/>
      <c r="AQ396" s="50"/>
      <c r="AS396" s="1"/>
    </row>
    <row r="397" spans="1:45" s="26" customFormat="1" ht="15">
      <c r="A397" s="61">
        <v>34</v>
      </c>
      <c r="B397" s="1">
        <v>32</v>
      </c>
      <c r="C397" s="1"/>
      <c r="D397" s="1"/>
      <c r="E397" s="61" t="s">
        <v>660</v>
      </c>
      <c r="F397" s="29" t="s">
        <v>50</v>
      </c>
      <c r="G397" s="29">
        <v>58</v>
      </c>
      <c r="H397" s="27">
        <v>67</v>
      </c>
      <c r="I397" s="27"/>
      <c r="J397" s="27">
        <v>123</v>
      </c>
      <c r="K397" s="27"/>
      <c r="L397" s="27"/>
      <c r="M397" s="32">
        <f t="shared" si="51"/>
        <v>248</v>
      </c>
      <c r="N397" s="32" t="s">
        <v>1330</v>
      </c>
      <c r="O397" s="32"/>
      <c r="P397" s="32">
        <f t="shared" si="52"/>
        <v>247.96090000000001</v>
      </c>
      <c r="Q397" s="32">
        <f t="shared" si="53"/>
        <v>3</v>
      </c>
      <c r="R397" s="32">
        <f t="shared" ca="1" si="54"/>
        <v>0</v>
      </c>
      <c r="S397" s="33" t="s">
        <v>105</v>
      </c>
      <c r="T397" s="34">
        <f t="shared" si="55"/>
        <v>0</v>
      </c>
      <c r="U397" s="34">
        <f t="shared" ca="1" si="56"/>
        <v>0</v>
      </c>
      <c r="V397" s="34">
        <f>-SUMPRODUCT((S$6:S396=S397)*(X$6:X396=X397))</f>
        <v>0</v>
      </c>
      <c r="W397" s="34">
        <f>-SUMPRODUCT((S$6:S396=S397)*(X$6:X396=X397)*(B$6:B396&lt;&gt;"NS"))</f>
        <v>0</v>
      </c>
      <c r="X397" s="35">
        <f t="shared" si="57"/>
        <v>248.13028</v>
      </c>
      <c r="Y397" s="27">
        <v>123</v>
      </c>
      <c r="Z397" s="27">
        <v>67</v>
      </c>
      <c r="AA397" s="29">
        <v>58</v>
      </c>
      <c r="AB397" s="27"/>
      <c r="AC397" s="27"/>
      <c r="AD397" s="27"/>
      <c r="AF397" s="36">
        <v>0</v>
      </c>
      <c r="AG397" s="36">
        <v>0</v>
      </c>
      <c r="AH397" s="36">
        <v>0</v>
      </c>
      <c r="AI397" s="36">
        <v>0</v>
      </c>
      <c r="AJ397" s="37">
        <v>3</v>
      </c>
      <c r="AK397" s="38">
        <v>248.09218000000001</v>
      </c>
      <c r="AL397" s="39">
        <v>123</v>
      </c>
      <c r="AM397" s="32">
        <v>313</v>
      </c>
      <c r="AN397" s="39"/>
      <c r="AO397" s="39"/>
      <c r="AP397" s="39"/>
      <c r="AQ397" s="50"/>
      <c r="AS397" s="1"/>
    </row>
    <row r="398" spans="1:45" s="26" customFormat="1" ht="15">
      <c r="A398" s="61">
        <v>35</v>
      </c>
      <c r="B398" s="1">
        <v>33</v>
      </c>
      <c r="C398" s="1"/>
      <c r="D398" s="1"/>
      <c r="E398" s="61" t="s">
        <v>661</v>
      </c>
      <c r="F398" s="29" t="s">
        <v>38</v>
      </c>
      <c r="G398" s="29">
        <v>48</v>
      </c>
      <c r="H398" s="27">
        <v>68</v>
      </c>
      <c r="I398" s="27">
        <v>115</v>
      </c>
      <c r="J398" s="27"/>
      <c r="K398" s="27"/>
      <c r="L398" s="27"/>
      <c r="M398" s="32">
        <f t="shared" si="51"/>
        <v>231</v>
      </c>
      <c r="N398" s="32" t="s">
        <v>1330</v>
      </c>
      <c r="O398" s="32"/>
      <c r="P398" s="32">
        <f t="shared" si="52"/>
        <v>230.96080000000001</v>
      </c>
      <c r="Q398" s="32">
        <f t="shared" si="53"/>
        <v>3</v>
      </c>
      <c r="R398" s="32">
        <f t="shared" ca="1" si="54"/>
        <v>0</v>
      </c>
      <c r="S398" s="33" t="s">
        <v>105</v>
      </c>
      <c r="T398" s="34">
        <f t="shared" si="55"/>
        <v>0</v>
      </c>
      <c r="U398" s="34">
        <f t="shared" ca="1" si="56"/>
        <v>0</v>
      </c>
      <c r="V398" s="34">
        <f>-SUMPRODUCT((S$6:S397=S398)*(X$6:X397=X398))</f>
        <v>0</v>
      </c>
      <c r="W398" s="34">
        <f>-SUMPRODUCT((S$6:S397=S398)*(X$6:X397=X398)*(B$6:B397&lt;&gt;"NS"))</f>
        <v>0</v>
      </c>
      <c r="X398" s="35">
        <f t="shared" si="57"/>
        <v>231.12227999999999</v>
      </c>
      <c r="Y398" s="27">
        <v>115</v>
      </c>
      <c r="Z398" s="27">
        <v>68</v>
      </c>
      <c r="AA398" s="29">
        <v>48</v>
      </c>
      <c r="AB398" s="27"/>
      <c r="AC398" s="27"/>
      <c r="AD398" s="27"/>
      <c r="AF398" s="36">
        <v>0</v>
      </c>
      <c r="AG398" s="36">
        <v>0</v>
      </c>
      <c r="AH398" s="36">
        <v>0</v>
      </c>
      <c r="AI398" s="36">
        <v>0</v>
      </c>
      <c r="AJ398" s="37">
        <v>3</v>
      </c>
      <c r="AK398" s="38">
        <v>231.08408000000003</v>
      </c>
      <c r="AL398" s="39">
        <v>115</v>
      </c>
      <c r="AM398" s="32">
        <v>298</v>
      </c>
      <c r="AN398" s="39"/>
      <c r="AO398" s="39"/>
      <c r="AP398" s="39"/>
      <c r="AQ398" s="50"/>
      <c r="AS398" s="1"/>
    </row>
    <row r="399" spans="1:45" s="26" customFormat="1" ht="15">
      <c r="A399" s="61">
        <v>36</v>
      </c>
      <c r="B399" s="1">
        <v>34</v>
      </c>
      <c r="C399" s="1"/>
      <c r="D399" s="1"/>
      <c r="E399" s="61" t="s">
        <v>662</v>
      </c>
      <c r="F399" s="29" t="s">
        <v>57</v>
      </c>
      <c r="G399" s="29"/>
      <c r="H399" s="27"/>
      <c r="I399" s="27">
        <v>162</v>
      </c>
      <c r="J399" s="27"/>
      <c r="K399" s="27"/>
      <c r="L399" s="27"/>
      <c r="M399" s="32">
        <f t="shared" si="51"/>
        <v>162</v>
      </c>
      <c r="N399" s="32" t="s">
        <v>1330</v>
      </c>
      <c r="O399" s="32"/>
      <c r="P399" s="32">
        <f t="shared" si="52"/>
        <v>161.9607</v>
      </c>
      <c r="Q399" s="32">
        <f t="shared" si="53"/>
        <v>1</v>
      </c>
      <c r="R399" s="32">
        <f t="shared" ca="1" si="54"/>
        <v>0</v>
      </c>
      <c r="S399" s="33" t="s">
        <v>105</v>
      </c>
      <c r="T399" s="34">
        <f t="shared" si="55"/>
        <v>0</v>
      </c>
      <c r="U399" s="34">
        <f t="shared" ca="1" si="56"/>
        <v>0</v>
      </c>
      <c r="V399" s="34">
        <f>-SUMPRODUCT((S$6:S398=S399)*(X$6:X398=X399))</f>
        <v>0</v>
      </c>
      <c r="W399" s="34">
        <f>-SUMPRODUCT((S$6:S398=S399)*(X$6:X398=X399)*(B$6:B398&lt;&gt;"NS"))</f>
        <v>0</v>
      </c>
      <c r="X399" s="35">
        <f t="shared" si="57"/>
        <v>162.16200000000001</v>
      </c>
      <c r="Y399" s="27">
        <v>162</v>
      </c>
      <c r="Z399" s="29"/>
      <c r="AA399" s="27"/>
      <c r="AB399" s="27"/>
      <c r="AC399" s="27"/>
      <c r="AD399" s="27"/>
      <c r="AF399" s="36">
        <v>0</v>
      </c>
      <c r="AG399" s="36">
        <v>0</v>
      </c>
      <c r="AH399" s="36">
        <v>0</v>
      </c>
      <c r="AI399" s="36">
        <v>0</v>
      </c>
      <c r="AJ399" s="37">
        <v>1</v>
      </c>
      <c r="AK399" s="38">
        <v>162.1234</v>
      </c>
      <c r="AL399" s="39">
        <v>162</v>
      </c>
      <c r="AM399" s="32">
        <v>324</v>
      </c>
      <c r="AN399" s="39"/>
      <c r="AO399" s="39"/>
      <c r="AP399" s="39"/>
      <c r="AQ399" s="50"/>
      <c r="AS399" s="1"/>
    </row>
    <row r="400" spans="1:45" s="26" customFormat="1" ht="15">
      <c r="A400" s="61">
        <v>37</v>
      </c>
      <c r="B400" s="1">
        <v>35</v>
      </c>
      <c r="C400" s="1"/>
      <c r="D400" s="1"/>
      <c r="E400" s="61" t="s">
        <v>663</v>
      </c>
      <c r="F400" s="29" t="s">
        <v>38</v>
      </c>
      <c r="G400" s="29"/>
      <c r="H400" s="27"/>
      <c r="I400" s="27">
        <v>159</v>
      </c>
      <c r="J400" s="27"/>
      <c r="K400" s="27"/>
      <c r="L400" s="27"/>
      <c r="M400" s="32">
        <f t="shared" si="51"/>
        <v>159</v>
      </c>
      <c r="N400" s="32" t="s">
        <v>1330</v>
      </c>
      <c r="O400" s="32"/>
      <c r="P400" s="32">
        <f t="shared" si="52"/>
        <v>158.9606</v>
      </c>
      <c r="Q400" s="32">
        <f t="shared" si="53"/>
        <v>1</v>
      </c>
      <c r="R400" s="32">
        <f t="shared" ca="1" si="54"/>
        <v>0</v>
      </c>
      <c r="S400" s="33" t="s">
        <v>105</v>
      </c>
      <c r="T400" s="34">
        <f t="shared" si="55"/>
        <v>0</v>
      </c>
      <c r="U400" s="34">
        <f t="shared" ca="1" si="56"/>
        <v>0</v>
      </c>
      <c r="V400" s="34">
        <f>-SUMPRODUCT((S$6:S399=S400)*(X$6:X399=X400))</f>
        <v>0</v>
      </c>
      <c r="W400" s="34">
        <f>-SUMPRODUCT((S$6:S399=S400)*(X$6:X399=X400)*(B$6:B399&lt;&gt;"NS"))</f>
        <v>0</v>
      </c>
      <c r="X400" s="35">
        <f t="shared" si="57"/>
        <v>159.15899999999999</v>
      </c>
      <c r="Y400" s="27">
        <v>159</v>
      </c>
      <c r="Z400" s="29"/>
      <c r="AA400" s="27"/>
      <c r="AB400" s="27"/>
      <c r="AC400" s="27"/>
      <c r="AD400" s="27"/>
      <c r="AF400" s="36">
        <v>0</v>
      </c>
      <c r="AG400" s="36">
        <v>0</v>
      </c>
      <c r="AH400" s="36">
        <v>0</v>
      </c>
      <c r="AI400" s="36">
        <v>0</v>
      </c>
      <c r="AJ400" s="37">
        <v>1</v>
      </c>
      <c r="AK400" s="38">
        <v>159.12029999999999</v>
      </c>
      <c r="AL400" s="39">
        <v>159</v>
      </c>
      <c r="AM400" s="32">
        <v>318</v>
      </c>
      <c r="AN400" s="39"/>
      <c r="AO400" s="39"/>
      <c r="AP400" s="39"/>
      <c r="AQ400" s="50"/>
      <c r="AS400" s="1"/>
    </row>
    <row r="401" spans="1:45" s="26" customFormat="1" ht="15">
      <c r="A401" s="61">
        <v>38</v>
      </c>
      <c r="B401" s="1">
        <v>36</v>
      </c>
      <c r="C401" s="1"/>
      <c r="D401" s="1"/>
      <c r="E401" s="61" t="s">
        <v>664</v>
      </c>
      <c r="F401" s="29" t="s">
        <v>252</v>
      </c>
      <c r="G401" s="29">
        <v>44</v>
      </c>
      <c r="H401" s="27"/>
      <c r="I401" s="27"/>
      <c r="J401" s="27">
        <v>115</v>
      </c>
      <c r="K401" s="27"/>
      <c r="L401" s="27"/>
      <c r="M401" s="32">
        <f t="shared" si="51"/>
        <v>159</v>
      </c>
      <c r="N401" s="32" t="s">
        <v>1330</v>
      </c>
      <c r="O401" s="32"/>
      <c r="P401" s="32">
        <f t="shared" si="52"/>
        <v>158.9605</v>
      </c>
      <c r="Q401" s="32">
        <f t="shared" si="53"/>
        <v>2</v>
      </c>
      <c r="R401" s="32">
        <f t="shared" ca="1" si="54"/>
        <v>0</v>
      </c>
      <c r="S401" s="33" t="s">
        <v>105</v>
      </c>
      <c r="T401" s="34">
        <f t="shared" si="55"/>
        <v>0</v>
      </c>
      <c r="U401" s="34">
        <f t="shared" ca="1" si="56"/>
        <v>0</v>
      </c>
      <c r="V401" s="34">
        <f>-SUMPRODUCT((S$6:S400=S401)*(X$6:X400=X401))</f>
        <v>0</v>
      </c>
      <c r="W401" s="34">
        <f>-SUMPRODUCT((S$6:S400=S401)*(X$6:X400=X401)*(B$6:B400&lt;&gt;"NS"))</f>
        <v>0</v>
      </c>
      <c r="X401" s="35">
        <f t="shared" si="57"/>
        <v>159.11940000000001</v>
      </c>
      <c r="Y401" s="27">
        <v>115</v>
      </c>
      <c r="Z401" s="29">
        <v>44</v>
      </c>
      <c r="AA401" s="27"/>
      <c r="AB401" s="27"/>
      <c r="AC401" s="27"/>
      <c r="AD401" s="27"/>
      <c r="AF401" s="36">
        <v>0</v>
      </c>
      <c r="AG401" s="36">
        <v>0</v>
      </c>
      <c r="AH401" s="36">
        <v>0</v>
      </c>
      <c r="AI401" s="36">
        <v>0</v>
      </c>
      <c r="AJ401" s="37">
        <v>2</v>
      </c>
      <c r="AK401" s="38">
        <v>159.0806</v>
      </c>
      <c r="AL401" s="39">
        <v>115</v>
      </c>
      <c r="AM401" s="32">
        <v>274</v>
      </c>
      <c r="AN401" s="39"/>
      <c r="AO401" s="39"/>
      <c r="AP401" s="39"/>
      <c r="AQ401" s="50"/>
      <c r="AS401" s="1"/>
    </row>
    <row r="402" spans="1:45" s="26" customFormat="1" ht="15">
      <c r="A402" s="61">
        <v>39</v>
      </c>
      <c r="B402" s="1">
        <v>37</v>
      </c>
      <c r="C402" s="1"/>
      <c r="D402" s="1"/>
      <c r="E402" s="61" t="s">
        <v>665</v>
      </c>
      <c r="F402" s="29" t="s">
        <v>47</v>
      </c>
      <c r="G402" s="29"/>
      <c r="H402" s="27">
        <v>123</v>
      </c>
      <c r="I402" s="27"/>
      <c r="J402" s="27"/>
      <c r="K402" s="27"/>
      <c r="L402" s="27"/>
      <c r="M402" s="32">
        <f t="shared" si="51"/>
        <v>123</v>
      </c>
      <c r="N402" s="32" t="s">
        <v>1330</v>
      </c>
      <c r="O402" s="32"/>
      <c r="P402" s="32">
        <f t="shared" si="52"/>
        <v>122.96040000000001</v>
      </c>
      <c r="Q402" s="32">
        <f t="shared" si="53"/>
        <v>1</v>
      </c>
      <c r="R402" s="32">
        <f t="shared" ca="1" si="54"/>
        <v>0</v>
      </c>
      <c r="S402" s="33" t="s">
        <v>105</v>
      </c>
      <c r="T402" s="34">
        <f t="shared" si="55"/>
        <v>0</v>
      </c>
      <c r="U402" s="34">
        <f t="shared" ca="1" si="56"/>
        <v>0</v>
      </c>
      <c r="V402" s="34">
        <f>-SUMPRODUCT((S$6:S401=S402)*(X$6:X401=X402))</f>
        <v>0</v>
      </c>
      <c r="W402" s="34">
        <f>-SUMPRODUCT((S$6:S401=S402)*(X$6:X401=X402)*(B$6:B401&lt;&gt;"NS"))</f>
        <v>0</v>
      </c>
      <c r="X402" s="35">
        <f t="shared" si="57"/>
        <v>123.123</v>
      </c>
      <c r="Y402" s="27">
        <v>123</v>
      </c>
      <c r="Z402" s="29"/>
      <c r="AA402" s="27"/>
      <c r="AB402" s="27"/>
      <c r="AC402" s="27"/>
      <c r="AD402" s="27"/>
      <c r="AF402" s="36">
        <v>0</v>
      </c>
      <c r="AG402" s="36">
        <v>0</v>
      </c>
      <c r="AH402" s="36">
        <v>0</v>
      </c>
      <c r="AI402" s="36">
        <v>0</v>
      </c>
      <c r="AJ402" s="37">
        <v>1</v>
      </c>
      <c r="AK402" s="38">
        <v>123.084</v>
      </c>
      <c r="AL402" s="39">
        <v>123</v>
      </c>
      <c r="AM402" s="32">
        <v>246</v>
      </c>
      <c r="AN402" s="39"/>
      <c r="AO402" s="39"/>
      <c r="AP402" s="39"/>
      <c r="AQ402" s="50"/>
      <c r="AS402" s="1"/>
    </row>
    <row r="403" spans="1:45" s="26" customFormat="1" ht="15">
      <c r="A403" s="61">
        <v>40</v>
      </c>
      <c r="B403" s="1">
        <v>38</v>
      </c>
      <c r="C403" s="1"/>
      <c r="D403" s="1"/>
      <c r="E403" s="61" t="s">
        <v>666</v>
      </c>
      <c r="F403" s="29" t="s">
        <v>118</v>
      </c>
      <c r="G403" s="29"/>
      <c r="H403" s="27">
        <v>116</v>
      </c>
      <c r="I403" s="27"/>
      <c r="J403" s="27"/>
      <c r="K403" s="27"/>
      <c r="L403" s="27"/>
      <c r="M403" s="32">
        <f t="shared" si="51"/>
        <v>116</v>
      </c>
      <c r="N403" s="32" t="s">
        <v>1330</v>
      </c>
      <c r="O403" s="32"/>
      <c r="P403" s="32">
        <f t="shared" si="52"/>
        <v>115.9603</v>
      </c>
      <c r="Q403" s="32">
        <f t="shared" si="53"/>
        <v>1</v>
      </c>
      <c r="R403" s="32">
        <f t="shared" ca="1" si="54"/>
        <v>0</v>
      </c>
      <c r="S403" s="33" t="s">
        <v>105</v>
      </c>
      <c r="T403" s="34">
        <f t="shared" si="55"/>
        <v>0</v>
      </c>
      <c r="U403" s="34">
        <f t="shared" ca="1" si="56"/>
        <v>0</v>
      </c>
      <c r="V403" s="34">
        <f>-SUMPRODUCT((S$6:S402=S403)*(X$6:X402=X403))</f>
        <v>0</v>
      </c>
      <c r="W403" s="34">
        <f>-SUMPRODUCT((S$6:S402=S403)*(X$6:X402=X403)*(B$6:B402&lt;&gt;"NS"))</f>
        <v>0</v>
      </c>
      <c r="X403" s="35">
        <f t="shared" si="57"/>
        <v>116.116</v>
      </c>
      <c r="Y403" s="27">
        <v>116</v>
      </c>
      <c r="Z403" s="29"/>
      <c r="AA403" s="27"/>
      <c r="AB403" s="27"/>
      <c r="AC403" s="27"/>
      <c r="AD403" s="27"/>
      <c r="AF403" s="36">
        <v>0</v>
      </c>
      <c r="AG403" s="36">
        <v>0</v>
      </c>
      <c r="AH403" s="36">
        <v>0</v>
      </c>
      <c r="AI403" s="36">
        <v>0</v>
      </c>
      <c r="AJ403" s="37">
        <v>1</v>
      </c>
      <c r="AK403" s="38">
        <v>116.07689999999999</v>
      </c>
      <c r="AL403" s="39">
        <v>116</v>
      </c>
      <c r="AM403" s="32">
        <v>232</v>
      </c>
      <c r="AN403" s="39"/>
      <c r="AO403" s="39"/>
      <c r="AP403" s="39"/>
      <c r="AQ403" s="50"/>
      <c r="AS403" s="1"/>
    </row>
    <row r="404" spans="1:45" s="26" customFormat="1" ht="15">
      <c r="A404" s="61">
        <v>41</v>
      </c>
      <c r="B404" s="1">
        <v>39</v>
      </c>
      <c r="C404" s="1"/>
      <c r="D404" s="1"/>
      <c r="E404" s="61" t="s">
        <v>667</v>
      </c>
      <c r="F404" s="29" t="s">
        <v>38</v>
      </c>
      <c r="G404" s="29"/>
      <c r="H404" s="27"/>
      <c r="I404" s="27">
        <v>103</v>
      </c>
      <c r="J404" s="27"/>
      <c r="K404" s="27"/>
      <c r="L404" s="27"/>
      <c r="M404" s="32">
        <f t="shared" si="51"/>
        <v>103</v>
      </c>
      <c r="N404" s="32" t="s">
        <v>1330</v>
      </c>
      <c r="O404" s="32"/>
      <c r="P404" s="32">
        <f t="shared" si="52"/>
        <v>102.9602</v>
      </c>
      <c r="Q404" s="32">
        <f t="shared" si="53"/>
        <v>1</v>
      </c>
      <c r="R404" s="32">
        <f t="shared" ca="1" si="54"/>
        <v>0</v>
      </c>
      <c r="S404" s="33" t="s">
        <v>105</v>
      </c>
      <c r="T404" s="34">
        <f t="shared" si="55"/>
        <v>0</v>
      </c>
      <c r="U404" s="34">
        <f t="shared" ca="1" si="56"/>
        <v>0</v>
      </c>
      <c r="V404" s="34">
        <f>-SUMPRODUCT((S$6:S403=S404)*(X$6:X403=X404))</f>
        <v>0</v>
      </c>
      <c r="W404" s="34">
        <f>-SUMPRODUCT((S$6:S403=S404)*(X$6:X403=X404)*(B$6:B403&lt;&gt;"NS"))</f>
        <v>0</v>
      </c>
      <c r="X404" s="35">
        <f t="shared" si="57"/>
        <v>103.10299999999999</v>
      </c>
      <c r="Y404" s="27">
        <v>103</v>
      </c>
      <c r="Z404" s="29"/>
      <c r="AA404" s="27"/>
      <c r="AB404" s="27"/>
      <c r="AC404" s="27"/>
      <c r="AD404" s="27"/>
      <c r="AF404" s="36">
        <v>0</v>
      </c>
      <c r="AG404" s="36">
        <v>0</v>
      </c>
      <c r="AH404" s="36">
        <v>0</v>
      </c>
      <c r="AI404" s="36">
        <v>0</v>
      </c>
      <c r="AJ404" s="37">
        <v>1</v>
      </c>
      <c r="AK404" s="38">
        <v>103.0638</v>
      </c>
      <c r="AL404" s="39">
        <v>103</v>
      </c>
      <c r="AM404" s="32">
        <v>206</v>
      </c>
      <c r="AN404" s="39"/>
      <c r="AO404" s="39"/>
      <c r="AP404" s="39"/>
      <c r="AQ404" s="50"/>
      <c r="AS404" s="1"/>
    </row>
    <row r="405" spans="1:45" s="26" customFormat="1" ht="15">
      <c r="A405" s="61">
        <v>42</v>
      </c>
      <c r="B405" s="1">
        <v>40</v>
      </c>
      <c r="C405" s="1"/>
      <c r="D405" s="1"/>
      <c r="E405" s="61" t="s">
        <v>668</v>
      </c>
      <c r="F405" s="29" t="s">
        <v>69</v>
      </c>
      <c r="G405" s="29">
        <v>93</v>
      </c>
      <c r="H405" s="27"/>
      <c r="I405" s="27"/>
      <c r="J405" s="27"/>
      <c r="K405" s="27"/>
      <c r="L405" s="27"/>
      <c r="M405" s="32">
        <f t="shared" si="51"/>
        <v>93</v>
      </c>
      <c r="N405" s="32" t="s">
        <v>1330</v>
      </c>
      <c r="O405" s="32"/>
      <c r="P405" s="32">
        <f t="shared" si="52"/>
        <v>92.960099999999997</v>
      </c>
      <c r="Q405" s="32">
        <f t="shared" si="53"/>
        <v>1</v>
      </c>
      <c r="R405" s="32">
        <f t="shared" ca="1" si="54"/>
        <v>0</v>
      </c>
      <c r="S405" s="33" t="s">
        <v>105</v>
      </c>
      <c r="T405" s="34">
        <f t="shared" si="55"/>
        <v>0</v>
      </c>
      <c r="U405" s="34">
        <f t="shared" ca="1" si="56"/>
        <v>0</v>
      </c>
      <c r="V405" s="34">
        <f>-SUMPRODUCT((S$6:S404=S405)*(X$6:X404=X405))</f>
        <v>0</v>
      </c>
      <c r="W405" s="34">
        <f>-SUMPRODUCT((S$6:S404=S405)*(X$6:X404=X405)*(B$6:B404&lt;&gt;"NS"))</f>
        <v>0</v>
      </c>
      <c r="X405" s="35">
        <f t="shared" si="57"/>
        <v>93.093000000000004</v>
      </c>
      <c r="Y405" s="29">
        <v>93</v>
      </c>
      <c r="Z405" s="27"/>
      <c r="AA405" s="27"/>
      <c r="AB405" s="27"/>
      <c r="AC405" s="27"/>
      <c r="AD405" s="27"/>
      <c r="AF405" s="36">
        <v>0</v>
      </c>
      <c r="AG405" s="36">
        <v>0</v>
      </c>
      <c r="AH405" s="36">
        <v>0</v>
      </c>
      <c r="AI405" s="36">
        <v>0</v>
      </c>
      <c r="AJ405" s="37">
        <v>1</v>
      </c>
      <c r="AK405" s="38">
        <v>93.053700000000006</v>
      </c>
      <c r="AL405" s="39">
        <v>93</v>
      </c>
      <c r="AM405" s="32">
        <v>186</v>
      </c>
      <c r="AN405" s="39"/>
      <c r="AO405" s="39"/>
      <c r="AP405" s="39"/>
      <c r="AQ405" s="50"/>
      <c r="AS405" s="1"/>
    </row>
    <row r="406" spans="1:45" s="26" customFormat="1" ht="15">
      <c r="A406" s="61">
        <v>43</v>
      </c>
      <c r="B406" s="1">
        <v>41</v>
      </c>
      <c r="C406" s="1"/>
      <c r="D406" s="1"/>
      <c r="E406" s="61" t="s">
        <v>669</v>
      </c>
      <c r="F406" s="29" t="s">
        <v>69</v>
      </c>
      <c r="G406" s="29">
        <v>66</v>
      </c>
      <c r="H406" s="27"/>
      <c r="I406" s="27"/>
      <c r="J406" s="27"/>
      <c r="K406" s="27"/>
      <c r="L406" s="27"/>
      <c r="M406" s="32">
        <f t="shared" si="51"/>
        <v>66</v>
      </c>
      <c r="N406" s="32" t="s">
        <v>1330</v>
      </c>
      <c r="O406" s="32"/>
      <c r="P406" s="32">
        <f t="shared" si="52"/>
        <v>65.959999999999994</v>
      </c>
      <c r="Q406" s="32">
        <f t="shared" si="53"/>
        <v>1</v>
      </c>
      <c r="R406" s="32">
        <f t="shared" ca="1" si="54"/>
        <v>0</v>
      </c>
      <c r="S406" s="33" t="s">
        <v>105</v>
      </c>
      <c r="T406" s="34">
        <f t="shared" si="55"/>
        <v>0</v>
      </c>
      <c r="U406" s="34">
        <f t="shared" ca="1" si="56"/>
        <v>0</v>
      </c>
      <c r="V406" s="34">
        <f>-SUMPRODUCT((S$6:S405=S406)*(X$6:X405=X406))</f>
        <v>0</v>
      </c>
      <c r="W406" s="34">
        <f>-SUMPRODUCT((S$6:S405=S406)*(X$6:X405=X406)*(B$6:B405&lt;&gt;"NS"))</f>
        <v>0</v>
      </c>
      <c r="X406" s="35">
        <f t="shared" si="57"/>
        <v>66.066000000000003</v>
      </c>
      <c r="Y406" s="29">
        <v>66</v>
      </c>
      <c r="Z406" s="27"/>
      <c r="AA406" s="27"/>
      <c r="AB406" s="27"/>
      <c r="AC406" s="27"/>
      <c r="AD406" s="27"/>
      <c r="AF406" s="36">
        <v>0</v>
      </c>
      <c r="AG406" s="36">
        <v>0</v>
      </c>
      <c r="AH406" s="36">
        <v>0</v>
      </c>
      <c r="AI406" s="36">
        <v>0</v>
      </c>
      <c r="AJ406" s="37">
        <v>1</v>
      </c>
      <c r="AK406" s="38">
        <v>66.026600000000002</v>
      </c>
      <c r="AL406" s="39">
        <v>66</v>
      </c>
      <c r="AM406" s="32">
        <v>132</v>
      </c>
      <c r="AN406" s="39"/>
      <c r="AO406" s="39"/>
      <c r="AP406" s="39"/>
      <c r="AQ406" s="50"/>
      <c r="AS406" s="1"/>
    </row>
    <row r="407" spans="1:45" s="26" customFormat="1" ht="15">
      <c r="A407" s="61">
        <v>44</v>
      </c>
      <c r="B407" s="1">
        <v>42</v>
      </c>
      <c r="C407" s="1"/>
      <c r="D407" s="1"/>
      <c r="E407" s="61" t="s">
        <v>670</v>
      </c>
      <c r="F407" s="29" t="s">
        <v>69</v>
      </c>
      <c r="G407" s="29">
        <v>61</v>
      </c>
      <c r="H407" s="27"/>
      <c r="I407" s="27"/>
      <c r="J407" s="27"/>
      <c r="K407" s="27"/>
      <c r="L407" s="27"/>
      <c r="M407" s="32">
        <f t="shared" si="51"/>
        <v>61</v>
      </c>
      <c r="N407" s="32" t="s">
        <v>1330</v>
      </c>
      <c r="O407" s="32"/>
      <c r="P407" s="32">
        <f t="shared" si="52"/>
        <v>60.959899999999998</v>
      </c>
      <c r="Q407" s="32">
        <f t="shared" si="53"/>
        <v>1</v>
      </c>
      <c r="R407" s="32">
        <f t="shared" ca="1" si="54"/>
        <v>0</v>
      </c>
      <c r="S407" s="33" t="s">
        <v>105</v>
      </c>
      <c r="T407" s="34">
        <f t="shared" si="55"/>
        <v>0</v>
      </c>
      <c r="U407" s="34">
        <f t="shared" ca="1" si="56"/>
        <v>0</v>
      </c>
      <c r="V407" s="34">
        <f>-SUMPRODUCT((S$6:S406=S407)*(X$6:X406=X407))</f>
        <v>0</v>
      </c>
      <c r="W407" s="34">
        <f>-SUMPRODUCT((S$6:S406=S407)*(X$6:X406=X407)*(B$6:B406&lt;&gt;"NS"))</f>
        <v>0</v>
      </c>
      <c r="X407" s="35">
        <f t="shared" si="57"/>
        <v>61.061</v>
      </c>
      <c r="Y407" s="29">
        <v>61</v>
      </c>
      <c r="Z407" s="27"/>
      <c r="AA407" s="27"/>
      <c r="AB407" s="27"/>
      <c r="AC407" s="27"/>
      <c r="AD407" s="27"/>
      <c r="AF407" s="36">
        <v>0</v>
      </c>
      <c r="AG407" s="36">
        <v>0</v>
      </c>
      <c r="AH407" s="36">
        <v>0</v>
      </c>
      <c r="AI407" s="36">
        <v>0</v>
      </c>
      <c r="AJ407" s="37">
        <v>1</v>
      </c>
      <c r="AK407" s="38">
        <v>61.021500000000003</v>
      </c>
      <c r="AL407" s="39">
        <v>61</v>
      </c>
      <c r="AM407" s="32">
        <v>122</v>
      </c>
      <c r="AN407" s="39"/>
      <c r="AO407" s="39"/>
      <c r="AP407" s="39"/>
      <c r="AQ407" s="50"/>
      <c r="AS407" s="1"/>
    </row>
    <row r="408" spans="1:45" s="26" customFormat="1" ht="15">
      <c r="A408" s="61">
        <v>45</v>
      </c>
      <c r="B408" s="1">
        <v>43</v>
      </c>
      <c r="C408" s="1"/>
      <c r="D408" s="1"/>
      <c r="E408" s="61" t="s">
        <v>671</v>
      </c>
      <c r="F408" s="29" t="s">
        <v>84</v>
      </c>
      <c r="G408" s="29">
        <v>56</v>
      </c>
      <c r="H408" s="27"/>
      <c r="I408" s="27"/>
      <c r="J408" s="27"/>
      <c r="K408" s="27"/>
      <c r="L408" s="27"/>
      <c r="M408" s="32">
        <f t="shared" si="51"/>
        <v>56</v>
      </c>
      <c r="N408" s="32" t="s">
        <v>1330</v>
      </c>
      <c r="O408" s="32"/>
      <c r="P408" s="32">
        <f t="shared" si="52"/>
        <v>55.959800000000001</v>
      </c>
      <c r="Q408" s="32">
        <f t="shared" si="53"/>
        <v>1</v>
      </c>
      <c r="R408" s="32">
        <f t="shared" ca="1" si="54"/>
        <v>0</v>
      </c>
      <c r="S408" s="33" t="s">
        <v>105</v>
      </c>
      <c r="T408" s="34">
        <f t="shared" si="55"/>
        <v>0</v>
      </c>
      <c r="U408" s="34">
        <f t="shared" ca="1" si="56"/>
        <v>0</v>
      </c>
      <c r="V408" s="34">
        <f>-SUMPRODUCT((S$6:S407=S408)*(X$6:X407=X408))</f>
        <v>0</v>
      </c>
      <c r="W408" s="34">
        <f>-SUMPRODUCT((S$6:S407=S408)*(X$6:X407=X408)*(B$6:B407&lt;&gt;"NS"))</f>
        <v>0</v>
      </c>
      <c r="X408" s="35">
        <f t="shared" si="57"/>
        <v>56.055999999999997</v>
      </c>
      <c r="Y408" s="29">
        <v>56</v>
      </c>
      <c r="Z408" s="27"/>
      <c r="AA408" s="27"/>
      <c r="AB408" s="27"/>
      <c r="AC408" s="27"/>
      <c r="AD408" s="27"/>
      <c r="AF408" s="36">
        <v>0</v>
      </c>
      <c r="AG408" s="36">
        <v>0</v>
      </c>
      <c r="AH408" s="36">
        <v>0</v>
      </c>
      <c r="AI408" s="36">
        <v>0</v>
      </c>
      <c r="AJ408" s="37">
        <v>1</v>
      </c>
      <c r="AK408" s="38">
        <v>56.016399999999997</v>
      </c>
      <c r="AL408" s="39">
        <v>56</v>
      </c>
      <c r="AM408" s="32">
        <v>112</v>
      </c>
      <c r="AN408" s="39"/>
      <c r="AO408" s="39"/>
      <c r="AP408" s="39"/>
      <c r="AQ408" s="50"/>
      <c r="AS408" s="1"/>
    </row>
    <row r="409" spans="1:45" ht="3" customHeight="1">
      <c r="A409" s="60"/>
      <c r="B409" s="60"/>
      <c r="C409" s="60"/>
      <c r="D409" s="60"/>
      <c r="E409" s="60"/>
      <c r="F409" s="27"/>
      <c r="G409" s="27"/>
      <c r="H409" s="27"/>
      <c r="I409" s="27"/>
      <c r="J409" s="27"/>
      <c r="K409" s="27"/>
      <c r="L409" s="27"/>
      <c r="M409" s="32"/>
      <c r="N409" s="27"/>
      <c r="O409" s="27"/>
      <c r="P409" s="32"/>
      <c r="Q409" s="27"/>
      <c r="R409" s="27"/>
      <c r="T409" s="62"/>
      <c r="U409" s="62"/>
      <c r="V409" s="62"/>
      <c r="W409" s="62"/>
      <c r="X409" s="34"/>
      <c r="Y409" s="27"/>
      <c r="Z409" s="27"/>
      <c r="AA409" s="27"/>
      <c r="AB409" s="27"/>
      <c r="AC409" s="27"/>
      <c r="AD409" s="27"/>
      <c r="AJ409" s="63"/>
      <c r="AK409" s="63"/>
      <c r="AL409" s="26"/>
      <c r="AM409" s="26"/>
      <c r="AN409" s="39"/>
      <c r="AO409" s="39"/>
      <c r="AP409" s="39"/>
      <c r="AQ409" s="30"/>
      <c r="AR409" s="26"/>
      <c r="AS409" s="1"/>
    </row>
    <row r="410" spans="1:45" ht="15">
      <c r="A410" s="61"/>
      <c r="B410" s="1"/>
      <c r="C410" s="1"/>
      <c r="D410" s="1"/>
      <c r="E410" s="61"/>
      <c r="F410" s="29"/>
      <c r="G410" s="29"/>
      <c r="H410" s="27"/>
      <c r="I410" s="27"/>
      <c r="J410" s="27"/>
      <c r="K410" s="27"/>
      <c r="L410" s="27"/>
      <c r="M410" s="32"/>
      <c r="N410" s="27"/>
      <c r="O410" s="27"/>
      <c r="P410" s="32"/>
      <c r="Q410" s="27"/>
      <c r="R410" s="27"/>
      <c r="T410" s="62"/>
      <c r="U410" s="62"/>
      <c r="V410" s="62"/>
      <c r="W410" s="62"/>
      <c r="X410" s="34"/>
      <c r="Y410" s="27"/>
      <c r="Z410" s="27"/>
      <c r="AA410" s="27"/>
      <c r="AB410" s="27"/>
      <c r="AC410" s="27"/>
      <c r="AD410" s="27"/>
      <c r="AJ410" s="63"/>
      <c r="AK410" s="63"/>
      <c r="AL410" s="26"/>
      <c r="AM410" s="26"/>
      <c r="AN410" s="39"/>
      <c r="AO410" s="39"/>
      <c r="AP410" s="39"/>
      <c r="AQ410" s="30"/>
      <c r="AR410" s="26"/>
      <c r="AS410" s="1"/>
    </row>
    <row r="411" spans="1:45" ht="15">
      <c r="A411" s="61"/>
      <c r="B411" s="1"/>
      <c r="C411" s="1"/>
      <c r="D411" s="1"/>
      <c r="E411" s="60" t="s">
        <v>156</v>
      </c>
      <c r="F411" s="29"/>
      <c r="G411" s="29"/>
      <c r="H411" s="27"/>
      <c r="I411" s="27"/>
      <c r="J411" s="27"/>
      <c r="K411" s="27"/>
      <c r="L411" s="27"/>
      <c r="M411" s="32"/>
      <c r="N411" s="27"/>
      <c r="O411" s="27"/>
      <c r="P411" s="32"/>
      <c r="Q411" s="27"/>
      <c r="R411" s="32"/>
      <c r="S411" s="52" t="str">
        <f>E411</f>
        <v>M65</v>
      </c>
      <c r="T411" s="62"/>
      <c r="U411" s="62"/>
      <c r="V411" s="62"/>
      <c r="W411" s="62"/>
      <c r="X411" s="34"/>
      <c r="Y411" s="29"/>
      <c r="Z411" s="27"/>
      <c r="AA411" s="27"/>
      <c r="AB411" s="27"/>
      <c r="AC411" s="27"/>
      <c r="AD411" s="27"/>
      <c r="AF411" s="36"/>
      <c r="AG411" s="36"/>
      <c r="AH411" s="36"/>
      <c r="AI411" s="36"/>
      <c r="AJ411" s="63"/>
      <c r="AK411" s="63"/>
      <c r="AL411" s="26"/>
      <c r="AM411" s="26"/>
      <c r="AN411" s="39">
        <v>652</v>
      </c>
      <c r="AO411" s="39">
        <v>576</v>
      </c>
      <c r="AP411" s="39">
        <v>555</v>
      </c>
      <c r="AQ411" s="30"/>
      <c r="AR411" s="26"/>
      <c r="AS411" s="1"/>
    </row>
    <row r="412" spans="1:45" ht="15">
      <c r="A412" s="61">
        <v>1</v>
      </c>
      <c r="B412" s="1">
        <v>1</v>
      </c>
      <c r="C412" s="1"/>
      <c r="D412" s="1"/>
      <c r="E412" s="61" t="s">
        <v>183</v>
      </c>
      <c r="F412" s="29" t="s">
        <v>66</v>
      </c>
      <c r="G412" s="29">
        <v>191</v>
      </c>
      <c r="H412" s="27">
        <v>179</v>
      </c>
      <c r="I412" s="27">
        <v>228</v>
      </c>
      <c r="J412" s="27">
        <v>233</v>
      </c>
      <c r="K412" s="27">
        <v>226</v>
      </c>
      <c r="L412" s="27"/>
      <c r="M412" s="32">
        <f t="shared" ref="M412:M442" si="58">IFERROR(LARGE(G412:L412,1),0)+IF($F$5&gt;=2,IFERROR(LARGE(G412:L412,2),0),0)+IF($F$5&gt;=3,IFERROR(LARGE(G412:L412,3),0),0)+IF($F$5&gt;=4,IFERROR(LARGE(G412:L412,4),0),0)+IF($F$5&gt;=5,IFERROR(LARGE(G412:L412,5),0),0)+IF($F$5&gt;=6,IFERROR(LARGE(G412:L412,6),0),0)</f>
        <v>687</v>
      </c>
      <c r="N412" s="32" t="s">
        <v>1330</v>
      </c>
      <c r="O412" s="32" t="s">
        <v>672</v>
      </c>
      <c r="P412" s="32">
        <f t="shared" ref="P412:P442" si="59">M412-(ROW(M412)-ROW(M$6))/10000</f>
        <v>686.95939999999996</v>
      </c>
      <c r="Q412" s="32">
        <f t="shared" ref="Q412:Q442" si="60">COUNT(G412:L412)</f>
        <v>5</v>
      </c>
      <c r="R412" s="32">
        <f t="shared" ref="R412:R442" ca="1" si="61">IF(AND(Q412=1,OFFSET(F412,0,R$3)&gt;0),"Y",0)</f>
        <v>0</v>
      </c>
      <c r="S412" s="33" t="s">
        <v>156</v>
      </c>
      <c r="T412" s="34">
        <f t="shared" ref="T412:T442" si="62">1-(S412=S411)</f>
        <v>0</v>
      </c>
      <c r="U412" s="34">
        <f t="shared" ref="U412:U442" ca="1" si="63">OFFSET(F412,0,$R$3)</f>
        <v>226</v>
      </c>
      <c r="V412" s="34">
        <f>-SUMPRODUCT((S$6:S411=S412)*(X$6:X411=X412))</f>
        <v>0</v>
      </c>
      <c r="W412" s="34">
        <f>-SUMPRODUCT((S$6:S411=S412)*(X$6:X411=X412)*(B$6:B411&lt;&gt;"NS"))</f>
        <v>0</v>
      </c>
      <c r="X412" s="35">
        <f t="shared" ref="X412:X442" si="64">M412+SUMPRODUCT(Y$4:AD$4,Y412:AD412)</f>
        <v>687.25806</v>
      </c>
      <c r="Y412" s="27">
        <v>233</v>
      </c>
      <c r="Z412" s="27">
        <v>228</v>
      </c>
      <c r="AA412" s="27">
        <v>226</v>
      </c>
      <c r="AB412" s="29">
        <v>191</v>
      </c>
      <c r="AC412" s="27">
        <v>179</v>
      </c>
      <c r="AD412" s="27"/>
      <c r="AF412" s="36">
        <v>0</v>
      </c>
      <c r="AG412" s="36">
        <v>0</v>
      </c>
      <c r="AH412" s="36">
        <v>0</v>
      </c>
      <c r="AI412" s="36">
        <v>0</v>
      </c>
      <c r="AJ412" s="37">
        <v>4</v>
      </c>
      <c r="AK412" s="38">
        <v>652.2178889999999</v>
      </c>
      <c r="AL412" s="39">
        <v>233</v>
      </c>
      <c r="AM412" s="32">
        <v>694</v>
      </c>
      <c r="AN412" s="39" t="s">
        <v>672</v>
      </c>
      <c r="AO412" s="39"/>
      <c r="AP412" s="39"/>
      <c r="AQ412" s="30"/>
      <c r="AR412" s="26"/>
      <c r="AS412" s="1"/>
    </row>
    <row r="413" spans="1:45" ht="15">
      <c r="A413" s="61">
        <v>2</v>
      </c>
      <c r="B413" s="1">
        <v>2</v>
      </c>
      <c r="C413" s="1"/>
      <c r="D413" s="1"/>
      <c r="E413" s="61" t="s">
        <v>155</v>
      </c>
      <c r="F413" s="29" t="s">
        <v>47</v>
      </c>
      <c r="G413" s="29">
        <v>127</v>
      </c>
      <c r="H413" s="27">
        <v>168</v>
      </c>
      <c r="I413" s="27">
        <v>195</v>
      </c>
      <c r="J413" s="27">
        <v>213</v>
      </c>
      <c r="K413" s="27">
        <v>243</v>
      </c>
      <c r="L413" s="27"/>
      <c r="M413" s="32">
        <f t="shared" si="58"/>
        <v>651</v>
      </c>
      <c r="N413" s="32" t="s">
        <v>1330</v>
      </c>
      <c r="O413" s="32" t="s">
        <v>673</v>
      </c>
      <c r="P413" s="32">
        <f t="shared" si="59"/>
        <v>650.95929999999998</v>
      </c>
      <c r="Q413" s="32">
        <f t="shared" si="60"/>
        <v>5</v>
      </c>
      <c r="R413" s="32">
        <f t="shared" ca="1" si="61"/>
        <v>0</v>
      </c>
      <c r="S413" s="33" t="s">
        <v>156</v>
      </c>
      <c r="T413" s="34">
        <f t="shared" si="62"/>
        <v>0</v>
      </c>
      <c r="U413" s="34">
        <f t="shared" ca="1" si="63"/>
        <v>243</v>
      </c>
      <c r="V413" s="34">
        <f>-SUMPRODUCT((S$6:S412=S413)*(X$6:X412=X413))</f>
        <v>0</v>
      </c>
      <c r="W413" s="34">
        <f>-SUMPRODUCT((S$6:S412=S413)*(X$6:X412=X413)*(B$6:B412&lt;&gt;"NS"))</f>
        <v>0</v>
      </c>
      <c r="X413" s="35">
        <f t="shared" si="64"/>
        <v>651.26625000000001</v>
      </c>
      <c r="Y413" s="27">
        <v>243</v>
      </c>
      <c r="Z413" s="27">
        <v>213</v>
      </c>
      <c r="AA413" s="27">
        <v>195</v>
      </c>
      <c r="AB413" s="27">
        <v>168</v>
      </c>
      <c r="AC413" s="29">
        <v>127</v>
      </c>
      <c r="AD413" s="27"/>
      <c r="AF413" s="36">
        <v>0</v>
      </c>
      <c r="AG413" s="36">
        <v>0</v>
      </c>
      <c r="AH413" s="36">
        <v>0</v>
      </c>
      <c r="AI413" s="36">
        <v>0</v>
      </c>
      <c r="AJ413" s="37">
        <v>4</v>
      </c>
      <c r="AK413" s="38">
        <v>576.19420699999989</v>
      </c>
      <c r="AL413" s="39">
        <v>213</v>
      </c>
      <c r="AM413" s="32">
        <v>621</v>
      </c>
      <c r="AN413" s="39"/>
      <c r="AO413" s="39" t="s">
        <v>673</v>
      </c>
      <c r="AP413" s="39" t="s">
        <v>674</v>
      </c>
      <c r="AQ413" s="30"/>
      <c r="AR413" s="26"/>
      <c r="AS413" s="1"/>
    </row>
    <row r="414" spans="1:45" ht="15">
      <c r="A414" s="61">
        <v>3</v>
      </c>
      <c r="B414" s="1">
        <v>3</v>
      </c>
      <c r="C414" s="1"/>
      <c r="D414" s="1"/>
      <c r="E414" s="61" t="s">
        <v>178</v>
      </c>
      <c r="F414" s="29" t="s">
        <v>53</v>
      </c>
      <c r="G414" s="29">
        <v>144</v>
      </c>
      <c r="H414" s="27">
        <v>153</v>
      </c>
      <c r="I414" s="27">
        <v>196</v>
      </c>
      <c r="J414" s="27">
        <v>206</v>
      </c>
      <c r="K414" s="27">
        <v>228</v>
      </c>
      <c r="L414" s="27"/>
      <c r="M414" s="32">
        <f t="shared" si="58"/>
        <v>630</v>
      </c>
      <c r="N414" s="32" t="s">
        <v>1330</v>
      </c>
      <c r="O414" s="32" t="s">
        <v>674</v>
      </c>
      <c r="P414" s="32">
        <f t="shared" si="59"/>
        <v>629.95920000000001</v>
      </c>
      <c r="Q414" s="32">
        <f t="shared" si="60"/>
        <v>5</v>
      </c>
      <c r="R414" s="32">
        <f t="shared" ca="1" si="61"/>
        <v>0</v>
      </c>
      <c r="S414" s="33" t="s">
        <v>156</v>
      </c>
      <c r="T414" s="34">
        <f t="shared" si="62"/>
        <v>0</v>
      </c>
      <c r="U414" s="34">
        <f t="shared" ca="1" si="63"/>
        <v>228</v>
      </c>
      <c r="V414" s="34">
        <f>-SUMPRODUCT((S$6:S413=S414)*(X$6:X413=X414))</f>
        <v>0</v>
      </c>
      <c r="W414" s="34">
        <f>-SUMPRODUCT((S$6:S413=S414)*(X$6:X413=X414)*(B$6:B413&lt;&gt;"NS"))</f>
        <v>0</v>
      </c>
      <c r="X414" s="35">
        <f t="shared" si="64"/>
        <v>630.25055999999995</v>
      </c>
      <c r="Y414" s="27">
        <v>228</v>
      </c>
      <c r="Z414" s="27">
        <v>206</v>
      </c>
      <c r="AA414" s="27">
        <v>196</v>
      </c>
      <c r="AB414" s="27">
        <v>153</v>
      </c>
      <c r="AC414" s="29">
        <v>144</v>
      </c>
      <c r="AD414" s="27"/>
      <c r="AF414" s="36">
        <v>0</v>
      </c>
      <c r="AG414" s="36">
        <v>0</v>
      </c>
      <c r="AH414" s="36">
        <v>0</v>
      </c>
      <c r="AI414" s="36">
        <v>0</v>
      </c>
      <c r="AJ414" s="37">
        <v>4</v>
      </c>
      <c r="AK414" s="38">
        <v>555.18707399999994</v>
      </c>
      <c r="AL414" s="39">
        <v>206</v>
      </c>
      <c r="AM414" s="32">
        <v>608</v>
      </c>
      <c r="AN414" s="39"/>
      <c r="AO414" s="39" t="s">
        <v>673</v>
      </c>
      <c r="AP414" s="39" t="s">
        <v>674</v>
      </c>
      <c r="AQ414" s="30"/>
      <c r="AR414" s="26"/>
      <c r="AS414" s="1"/>
    </row>
    <row r="415" spans="1:45" ht="15">
      <c r="A415" s="61">
        <v>4</v>
      </c>
      <c r="B415" s="1">
        <v>4</v>
      </c>
      <c r="C415" s="1"/>
      <c r="D415" s="1"/>
      <c r="E415" s="61" t="s">
        <v>192</v>
      </c>
      <c r="F415" s="29" t="s">
        <v>93</v>
      </c>
      <c r="G415" s="29">
        <v>132</v>
      </c>
      <c r="H415" s="27">
        <v>154</v>
      </c>
      <c r="I415" s="27">
        <v>192</v>
      </c>
      <c r="J415" s="27">
        <v>196</v>
      </c>
      <c r="K415" s="27">
        <v>222</v>
      </c>
      <c r="L415" s="27"/>
      <c r="M415" s="32">
        <f t="shared" si="58"/>
        <v>610</v>
      </c>
      <c r="N415" s="32" t="s">
        <v>1330</v>
      </c>
      <c r="O415" s="32"/>
      <c r="P415" s="32">
        <f t="shared" si="59"/>
        <v>609.95910000000003</v>
      </c>
      <c r="Q415" s="32">
        <f t="shared" si="60"/>
        <v>5</v>
      </c>
      <c r="R415" s="32">
        <f t="shared" ca="1" si="61"/>
        <v>0</v>
      </c>
      <c r="S415" s="33" t="s">
        <v>156</v>
      </c>
      <c r="T415" s="34">
        <f t="shared" si="62"/>
        <v>0</v>
      </c>
      <c r="U415" s="34">
        <f t="shared" ca="1" si="63"/>
        <v>222</v>
      </c>
      <c r="V415" s="34">
        <f>-SUMPRODUCT((S$6:S414=S415)*(X$6:X414=X415))</f>
        <v>0</v>
      </c>
      <c r="W415" s="34">
        <f>-SUMPRODUCT((S$6:S414=S415)*(X$6:X414=X415)*(B$6:B414&lt;&gt;"NS"))</f>
        <v>0</v>
      </c>
      <c r="X415" s="35">
        <f t="shared" si="64"/>
        <v>610.24351999999999</v>
      </c>
      <c r="Y415" s="27">
        <v>222</v>
      </c>
      <c r="Z415" s="27">
        <v>196</v>
      </c>
      <c r="AA415" s="27">
        <v>192</v>
      </c>
      <c r="AB415" s="27">
        <v>154</v>
      </c>
      <c r="AC415" s="29">
        <v>132</v>
      </c>
      <c r="AD415" s="27"/>
      <c r="AF415" s="36">
        <v>0</v>
      </c>
      <c r="AG415" s="36">
        <v>0</v>
      </c>
      <c r="AH415" s="36">
        <v>0</v>
      </c>
      <c r="AI415" s="36">
        <v>0</v>
      </c>
      <c r="AJ415" s="37">
        <v>4</v>
      </c>
      <c r="AK415" s="38">
        <v>542.17657199999996</v>
      </c>
      <c r="AL415" s="39">
        <v>196</v>
      </c>
      <c r="AM415" s="32">
        <v>584</v>
      </c>
      <c r="AN415" s="39"/>
      <c r="AO415" s="39" t="s">
        <v>673</v>
      </c>
      <c r="AP415" s="39" t="s">
        <v>674</v>
      </c>
      <c r="AQ415" s="30"/>
      <c r="AR415" s="26"/>
      <c r="AS415" s="1"/>
    </row>
    <row r="416" spans="1:45" ht="15">
      <c r="A416" s="61">
        <v>5</v>
      </c>
      <c r="B416" s="1">
        <v>5</v>
      </c>
      <c r="C416" s="1"/>
      <c r="D416" s="1"/>
      <c r="E416" s="61" t="s">
        <v>172</v>
      </c>
      <c r="F416" s="29" t="s">
        <v>50</v>
      </c>
      <c r="G416" s="29">
        <v>100</v>
      </c>
      <c r="H416" s="27">
        <v>129</v>
      </c>
      <c r="I416" s="27">
        <v>168</v>
      </c>
      <c r="J416" s="27">
        <v>207</v>
      </c>
      <c r="K416" s="27">
        <v>231</v>
      </c>
      <c r="L416" s="27"/>
      <c r="M416" s="32">
        <f t="shared" si="58"/>
        <v>606</v>
      </c>
      <c r="N416" s="32" t="s">
        <v>1330</v>
      </c>
      <c r="O416" s="32"/>
      <c r="P416" s="32">
        <f t="shared" si="59"/>
        <v>605.95899999999995</v>
      </c>
      <c r="Q416" s="32">
        <f t="shared" si="60"/>
        <v>5</v>
      </c>
      <c r="R416" s="32">
        <f t="shared" ca="1" si="61"/>
        <v>0</v>
      </c>
      <c r="S416" s="33" t="s">
        <v>156</v>
      </c>
      <c r="T416" s="34">
        <f t="shared" si="62"/>
        <v>0</v>
      </c>
      <c r="U416" s="34">
        <f t="shared" ca="1" si="63"/>
        <v>231</v>
      </c>
      <c r="V416" s="34">
        <f>-SUMPRODUCT((S$6:S415=S416)*(X$6:X415=X416))</f>
        <v>0</v>
      </c>
      <c r="W416" s="34">
        <f>-SUMPRODUCT((S$6:S415=S416)*(X$6:X415=X416)*(B$6:B415&lt;&gt;"NS"))</f>
        <v>0</v>
      </c>
      <c r="X416" s="35">
        <f t="shared" si="64"/>
        <v>606.25337999999999</v>
      </c>
      <c r="Y416" s="27">
        <v>231</v>
      </c>
      <c r="Z416" s="27">
        <v>207</v>
      </c>
      <c r="AA416" s="27">
        <v>168</v>
      </c>
      <c r="AB416" s="27">
        <v>129</v>
      </c>
      <c r="AC416" s="29">
        <v>100</v>
      </c>
      <c r="AD416" s="27"/>
      <c r="AF416" s="36">
        <v>0</v>
      </c>
      <c r="AG416" s="36">
        <v>0</v>
      </c>
      <c r="AH416" s="36">
        <v>0</v>
      </c>
      <c r="AI416" s="36">
        <v>0</v>
      </c>
      <c r="AJ416" s="37">
        <v>4</v>
      </c>
      <c r="AK416" s="38">
        <v>504.18468999999993</v>
      </c>
      <c r="AL416" s="39">
        <v>207</v>
      </c>
      <c r="AM416" s="32">
        <v>582</v>
      </c>
      <c r="AN416" s="39"/>
      <c r="AO416" s="39" t="s">
        <v>673</v>
      </c>
      <c r="AP416" s="39" t="s">
        <v>674</v>
      </c>
      <c r="AQ416" s="30"/>
      <c r="AR416" s="26"/>
      <c r="AS416" s="1"/>
    </row>
    <row r="417" spans="1:45" ht="15">
      <c r="A417" s="61">
        <v>6</v>
      </c>
      <c r="B417" s="1">
        <v>6</v>
      </c>
      <c r="C417" s="1"/>
      <c r="D417" s="1"/>
      <c r="E417" s="61" t="s">
        <v>219</v>
      </c>
      <c r="F417" s="29" t="s">
        <v>57</v>
      </c>
      <c r="G417" s="29">
        <v>135</v>
      </c>
      <c r="H417" s="27">
        <v>137</v>
      </c>
      <c r="I417" s="27">
        <v>191</v>
      </c>
      <c r="J417" s="27">
        <v>197</v>
      </c>
      <c r="K417" s="27">
        <v>207</v>
      </c>
      <c r="L417" s="27"/>
      <c r="M417" s="32">
        <f t="shared" si="58"/>
        <v>595</v>
      </c>
      <c r="N417" s="32" t="s">
        <v>1330</v>
      </c>
      <c r="O417" s="32"/>
      <c r="P417" s="32">
        <f t="shared" si="59"/>
        <v>594.95889999999997</v>
      </c>
      <c r="Q417" s="32">
        <f t="shared" si="60"/>
        <v>5</v>
      </c>
      <c r="R417" s="32">
        <f t="shared" ca="1" si="61"/>
        <v>0</v>
      </c>
      <c r="S417" s="33" t="s">
        <v>156</v>
      </c>
      <c r="T417" s="34">
        <f t="shared" si="62"/>
        <v>0</v>
      </c>
      <c r="U417" s="34">
        <f t="shared" ca="1" si="63"/>
        <v>207</v>
      </c>
      <c r="V417" s="34">
        <f>-SUMPRODUCT((S$6:S416=S417)*(X$6:X416=X417))</f>
        <v>0</v>
      </c>
      <c r="W417" s="34">
        <f>-SUMPRODUCT((S$6:S416=S417)*(X$6:X416=X417)*(B$6:B416&lt;&gt;"NS"))</f>
        <v>0</v>
      </c>
      <c r="X417" s="35">
        <f t="shared" si="64"/>
        <v>595.22861</v>
      </c>
      <c r="Y417" s="27">
        <v>207</v>
      </c>
      <c r="Z417" s="27">
        <v>197</v>
      </c>
      <c r="AA417" s="27">
        <v>191</v>
      </c>
      <c r="AB417" s="27">
        <v>137</v>
      </c>
      <c r="AC417" s="29">
        <v>135</v>
      </c>
      <c r="AD417" s="27"/>
      <c r="AF417" s="36">
        <v>0</v>
      </c>
      <c r="AG417" s="36">
        <v>0</v>
      </c>
      <c r="AH417" s="36">
        <v>0</v>
      </c>
      <c r="AI417" s="36">
        <v>0</v>
      </c>
      <c r="AJ417" s="37">
        <v>4</v>
      </c>
      <c r="AK417" s="38">
        <v>525.17720499999996</v>
      </c>
      <c r="AL417" s="39">
        <v>197</v>
      </c>
      <c r="AM417" s="32">
        <v>585</v>
      </c>
      <c r="AN417" s="39"/>
      <c r="AO417" s="39" t="s">
        <v>673</v>
      </c>
      <c r="AP417" s="39" t="s">
        <v>674</v>
      </c>
      <c r="AQ417" s="30"/>
      <c r="AR417" s="26"/>
      <c r="AS417" s="1"/>
    </row>
    <row r="418" spans="1:45" ht="15">
      <c r="A418" s="61">
        <v>7</v>
      </c>
      <c r="B418" s="1">
        <v>7</v>
      </c>
      <c r="C418" s="1"/>
      <c r="D418" s="1"/>
      <c r="E418" s="61" t="s">
        <v>190</v>
      </c>
      <c r="F418" s="29" t="s">
        <v>88</v>
      </c>
      <c r="G418" s="29"/>
      <c r="H418" s="27">
        <v>156</v>
      </c>
      <c r="I418" s="27">
        <v>193</v>
      </c>
      <c r="J418" s="27"/>
      <c r="K418" s="27">
        <v>223</v>
      </c>
      <c r="L418" s="27"/>
      <c r="M418" s="32">
        <f t="shared" si="58"/>
        <v>572</v>
      </c>
      <c r="N418" s="32" t="s">
        <v>1330</v>
      </c>
      <c r="O418" s="32"/>
      <c r="P418" s="32">
        <f t="shared" si="59"/>
        <v>571.9588</v>
      </c>
      <c r="Q418" s="32">
        <f t="shared" si="60"/>
        <v>3</v>
      </c>
      <c r="R418" s="32">
        <f t="shared" ca="1" si="61"/>
        <v>0</v>
      </c>
      <c r="S418" s="33" t="s">
        <v>156</v>
      </c>
      <c r="T418" s="34">
        <f t="shared" si="62"/>
        <v>0</v>
      </c>
      <c r="U418" s="34">
        <f t="shared" ca="1" si="63"/>
        <v>223</v>
      </c>
      <c r="V418" s="34">
        <f>-SUMPRODUCT((S$6:S417=S418)*(X$6:X417=X418))</f>
        <v>0</v>
      </c>
      <c r="W418" s="34">
        <f>-SUMPRODUCT((S$6:S417=S418)*(X$6:X417=X418)*(B$6:B417&lt;&gt;"NS"))</f>
        <v>0</v>
      </c>
      <c r="X418" s="35">
        <f t="shared" si="64"/>
        <v>572.24386000000004</v>
      </c>
      <c r="Y418" s="27">
        <v>223</v>
      </c>
      <c r="Z418" s="27">
        <v>193</v>
      </c>
      <c r="AA418" s="27">
        <v>156</v>
      </c>
      <c r="AB418" s="29"/>
      <c r="AC418" s="27"/>
      <c r="AD418" s="27"/>
      <c r="AF418" s="36">
        <v>0</v>
      </c>
      <c r="AG418" s="36">
        <v>0</v>
      </c>
      <c r="AH418" s="36">
        <v>0</v>
      </c>
      <c r="AI418" s="36">
        <v>0</v>
      </c>
      <c r="AJ418" s="37">
        <v>2</v>
      </c>
      <c r="AK418" s="38">
        <v>349.16769999999997</v>
      </c>
      <c r="AL418" s="39">
        <v>193</v>
      </c>
      <c r="AM418" s="32">
        <v>542</v>
      </c>
      <c r="AN418" s="39"/>
      <c r="AO418" s="39"/>
      <c r="AP418" s="39"/>
      <c r="AQ418" s="30"/>
      <c r="AR418" s="26"/>
      <c r="AS418" s="1"/>
    </row>
    <row r="419" spans="1:45" ht="15">
      <c r="A419" s="61">
        <v>8</v>
      </c>
      <c r="B419" s="1">
        <v>8</v>
      </c>
      <c r="C419" s="1"/>
      <c r="D419" s="1"/>
      <c r="E419" s="61" t="s">
        <v>220</v>
      </c>
      <c r="F419" s="29" t="s">
        <v>53</v>
      </c>
      <c r="G419" s="29">
        <v>102</v>
      </c>
      <c r="H419" s="27">
        <v>120</v>
      </c>
      <c r="I419" s="27">
        <v>154</v>
      </c>
      <c r="J419" s="27">
        <v>173</v>
      </c>
      <c r="K419" s="27">
        <v>206</v>
      </c>
      <c r="L419" s="27"/>
      <c r="M419" s="32">
        <f t="shared" si="58"/>
        <v>533</v>
      </c>
      <c r="N419" s="32" t="s">
        <v>1330</v>
      </c>
      <c r="O419" s="32"/>
      <c r="P419" s="32">
        <f t="shared" si="59"/>
        <v>532.95870000000002</v>
      </c>
      <c r="Q419" s="32">
        <f t="shared" si="60"/>
        <v>5</v>
      </c>
      <c r="R419" s="32">
        <f t="shared" ca="1" si="61"/>
        <v>0</v>
      </c>
      <c r="S419" s="33" t="s">
        <v>156</v>
      </c>
      <c r="T419" s="34">
        <f t="shared" si="62"/>
        <v>0</v>
      </c>
      <c r="U419" s="34">
        <f t="shared" ca="1" si="63"/>
        <v>206</v>
      </c>
      <c r="V419" s="34">
        <f>-SUMPRODUCT((S$6:S418=S419)*(X$6:X418=X419))</f>
        <v>0</v>
      </c>
      <c r="W419" s="34">
        <f>-SUMPRODUCT((S$6:S418=S419)*(X$6:X418=X419)*(B$6:B418&lt;&gt;"NS"))</f>
        <v>0</v>
      </c>
      <c r="X419" s="35">
        <f t="shared" si="64"/>
        <v>533.22483999999997</v>
      </c>
      <c r="Y419" s="27">
        <v>206</v>
      </c>
      <c r="Z419" s="27">
        <v>173</v>
      </c>
      <c r="AA419" s="27">
        <v>154</v>
      </c>
      <c r="AB419" s="27">
        <v>120</v>
      </c>
      <c r="AC419" s="29">
        <v>102</v>
      </c>
      <c r="AD419" s="27"/>
      <c r="AF419" s="36">
        <v>0</v>
      </c>
      <c r="AG419" s="36">
        <v>0</v>
      </c>
      <c r="AH419" s="36">
        <v>0</v>
      </c>
      <c r="AI419" s="36">
        <v>0</v>
      </c>
      <c r="AJ419" s="37">
        <v>4</v>
      </c>
      <c r="AK419" s="38">
        <v>447.149002</v>
      </c>
      <c r="AL419" s="39">
        <v>173</v>
      </c>
      <c r="AM419" s="32">
        <v>500</v>
      </c>
      <c r="AN419" s="39"/>
      <c r="AO419" s="39"/>
      <c r="AP419" s="39"/>
      <c r="AQ419" s="30"/>
      <c r="AR419" s="26"/>
      <c r="AS419" s="1"/>
    </row>
    <row r="420" spans="1:45" ht="15">
      <c r="A420" s="61">
        <v>9</v>
      </c>
      <c r="B420" s="1">
        <v>9</v>
      </c>
      <c r="C420" s="1"/>
      <c r="D420" s="1"/>
      <c r="E420" s="61" t="s">
        <v>209</v>
      </c>
      <c r="F420" s="29" t="s">
        <v>50</v>
      </c>
      <c r="G420" s="29"/>
      <c r="H420" s="27"/>
      <c r="I420" s="27">
        <v>135</v>
      </c>
      <c r="J420" s="27">
        <v>177</v>
      </c>
      <c r="K420" s="27">
        <v>212</v>
      </c>
      <c r="L420" s="27"/>
      <c r="M420" s="32">
        <f t="shared" si="58"/>
        <v>524</v>
      </c>
      <c r="N420" s="32" t="s">
        <v>1330</v>
      </c>
      <c r="O420" s="32"/>
      <c r="P420" s="32">
        <f t="shared" si="59"/>
        <v>523.95860000000005</v>
      </c>
      <c r="Q420" s="32">
        <f t="shared" si="60"/>
        <v>3</v>
      </c>
      <c r="R420" s="32">
        <f t="shared" ca="1" si="61"/>
        <v>0</v>
      </c>
      <c r="S420" s="33" t="s">
        <v>156</v>
      </c>
      <c r="T420" s="34">
        <f t="shared" si="62"/>
        <v>0</v>
      </c>
      <c r="U420" s="34">
        <f t="shared" ca="1" si="63"/>
        <v>212</v>
      </c>
      <c r="V420" s="34">
        <f>-SUMPRODUCT((S$6:S419=S420)*(X$6:X419=X420))</f>
        <v>0</v>
      </c>
      <c r="W420" s="34">
        <f>-SUMPRODUCT((S$6:S419=S420)*(X$6:X419=X420)*(B$6:B419&lt;&gt;"NS"))</f>
        <v>0</v>
      </c>
      <c r="X420" s="35">
        <f t="shared" si="64"/>
        <v>524.23104999999998</v>
      </c>
      <c r="Y420" s="27">
        <v>212</v>
      </c>
      <c r="Z420" s="27">
        <v>177</v>
      </c>
      <c r="AA420" s="27">
        <v>135</v>
      </c>
      <c r="AB420" s="29"/>
      <c r="AC420" s="27"/>
      <c r="AD420" s="27"/>
      <c r="AF420" s="36">
        <v>0</v>
      </c>
      <c r="AG420" s="36">
        <v>0</v>
      </c>
      <c r="AH420" s="36">
        <v>0</v>
      </c>
      <c r="AI420" s="36">
        <v>0</v>
      </c>
      <c r="AJ420" s="37">
        <v>2</v>
      </c>
      <c r="AK420" s="38">
        <v>312.14940000000007</v>
      </c>
      <c r="AL420" s="39">
        <v>177</v>
      </c>
      <c r="AM420" s="32">
        <v>489</v>
      </c>
      <c r="AN420" s="39"/>
      <c r="AO420" s="39"/>
      <c r="AP420" s="39"/>
      <c r="AQ420" s="30"/>
      <c r="AR420" s="26"/>
      <c r="AS420" s="1"/>
    </row>
    <row r="421" spans="1:45" ht="15">
      <c r="A421" s="61">
        <v>10</v>
      </c>
      <c r="B421" s="1">
        <v>10</v>
      </c>
      <c r="C421" s="1"/>
      <c r="D421" s="1"/>
      <c r="E421" s="61" t="s">
        <v>229</v>
      </c>
      <c r="F421" s="29" t="s">
        <v>38</v>
      </c>
      <c r="G421" s="29">
        <v>107</v>
      </c>
      <c r="H421" s="27">
        <v>139</v>
      </c>
      <c r="I421" s="27">
        <v>165</v>
      </c>
      <c r="J421" s="27">
        <v>145</v>
      </c>
      <c r="K421" s="27">
        <v>202</v>
      </c>
      <c r="L421" s="27"/>
      <c r="M421" s="32">
        <f t="shared" si="58"/>
        <v>512</v>
      </c>
      <c r="N421" s="32" t="s">
        <v>1330</v>
      </c>
      <c r="O421" s="32"/>
      <c r="P421" s="32">
        <f t="shared" si="59"/>
        <v>511.95850000000002</v>
      </c>
      <c r="Q421" s="32">
        <f t="shared" si="60"/>
        <v>5</v>
      </c>
      <c r="R421" s="32">
        <f t="shared" ca="1" si="61"/>
        <v>0</v>
      </c>
      <c r="S421" s="33" t="s">
        <v>156</v>
      </c>
      <c r="T421" s="34">
        <f t="shared" si="62"/>
        <v>0</v>
      </c>
      <c r="U421" s="34">
        <f t="shared" ca="1" si="63"/>
        <v>202</v>
      </c>
      <c r="V421" s="34">
        <f>-SUMPRODUCT((S$6:S420=S421)*(X$6:X420=X421))</f>
        <v>0</v>
      </c>
      <c r="W421" s="34">
        <f>-SUMPRODUCT((S$6:S420=S421)*(X$6:X420=X421)*(B$6:B420&lt;&gt;"NS"))</f>
        <v>0</v>
      </c>
      <c r="X421" s="35">
        <f t="shared" si="64"/>
        <v>512.21995000000004</v>
      </c>
      <c r="Y421" s="27">
        <v>202</v>
      </c>
      <c r="Z421" s="27">
        <v>165</v>
      </c>
      <c r="AA421" s="27">
        <v>145</v>
      </c>
      <c r="AB421" s="27">
        <v>139</v>
      </c>
      <c r="AC421" s="29">
        <v>107</v>
      </c>
      <c r="AD421" s="27"/>
      <c r="AF421" s="36">
        <v>0</v>
      </c>
      <c r="AG421" s="36">
        <v>0</v>
      </c>
      <c r="AH421" s="36">
        <v>0</v>
      </c>
      <c r="AI421" s="36">
        <v>0</v>
      </c>
      <c r="AJ421" s="37">
        <v>4</v>
      </c>
      <c r="AK421" s="38">
        <v>449.14039700000006</v>
      </c>
      <c r="AL421" s="39">
        <v>165</v>
      </c>
      <c r="AM421" s="32">
        <v>475</v>
      </c>
      <c r="AN421" s="39"/>
      <c r="AO421" s="39"/>
      <c r="AP421" s="39"/>
      <c r="AQ421" s="30"/>
      <c r="AR421" s="26"/>
      <c r="AS421" s="1"/>
    </row>
    <row r="422" spans="1:45" ht="15">
      <c r="A422" s="61">
        <v>11</v>
      </c>
      <c r="B422" s="1">
        <v>11</v>
      </c>
      <c r="C422" s="1"/>
      <c r="D422" s="1"/>
      <c r="E422" s="61" t="s">
        <v>245</v>
      </c>
      <c r="F422" s="29" t="s">
        <v>134</v>
      </c>
      <c r="G422" s="29">
        <v>88</v>
      </c>
      <c r="H422" s="27">
        <v>99</v>
      </c>
      <c r="I422" s="27">
        <v>147</v>
      </c>
      <c r="J422" s="27">
        <v>150</v>
      </c>
      <c r="K422" s="27">
        <v>195</v>
      </c>
      <c r="L422" s="27"/>
      <c r="M422" s="32">
        <f t="shared" si="58"/>
        <v>492</v>
      </c>
      <c r="N422" s="32" t="s">
        <v>1330</v>
      </c>
      <c r="O422" s="32"/>
      <c r="P422" s="32">
        <f t="shared" si="59"/>
        <v>491.95839999999998</v>
      </c>
      <c r="Q422" s="32">
        <f t="shared" si="60"/>
        <v>5</v>
      </c>
      <c r="R422" s="32">
        <f t="shared" ca="1" si="61"/>
        <v>0</v>
      </c>
      <c r="S422" s="33" t="s">
        <v>156</v>
      </c>
      <c r="T422" s="34">
        <f t="shared" si="62"/>
        <v>0</v>
      </c>
      <c r="U422" s="34">
        <f t="shared" ca="1" si="63"/>
        <v>195</v>
      </c>
      <c r="V422" s="34">
        <f>-SUMPRODUCT((S$6:S421=S422)*(X$6:X421=X422))</f>
        <v>0</v>
      </c>
      <c r="W422" s="34">
        <f>-SUMPRODUCT((S$6:S421=S422)*(X$6:X421=X422)*(B$6:B421&lt;&gt;"NS"))</f>
        <v>0</v>
      </c>
      <c r="X422" s="35">
        <f t="shared" si="64"/>
        <v>492.21147000000002</v>
      </c>
      <c r="Y422" s="27">
        <v>195</v>
      </c>
      <c r="Z422" s="27">
        <v>150</v>
      </c>
      <c r="AA422" s="27">
        <v>147</v>
      </c>
      <c r="AB422" s="27">
        <v>99</v>
      </c>
      <c r="AC422" s="29">
        <v>88</v>
      </c>
      <c r="AD422" s="27"/>
      <c r="AF422" s="36">
        <v>0</v>
      </c>
      <c r="AG422" s="36">
        <v>0</v>
      </c>
      <c r="AH422" s="36">
        <v>0</v>
      </c>
      <c r="AI422" s="36">
        <v>0</v>
      </c>
      <c r="AJ422" s="37">
        <v>4</v>
      </c>
      <c r="AK422" s="38">
        <v>396.124978</v>
      </c>
      <c r="AL422" s="39">
        <v>150</v>
      </c>
      <c r="AM422" s="32">
        <v>447</v>
      </c>
      <c r="AN422" s="39"/>
      <c r="AO422" s="39"/>
      <c r="AP422" s="39"/>
      <c r="AQ422" s="30"/>
      <c r="AR422" s="26"/>
      <c r="AS422" s="1"/>
    </row>
    <row r="423" spans="1:45" ht="15">
      <c r="A423" s="61">
        <v>12</v>
      </c>
      <c r="B423" s="1">
        <v>12</v>
      </c>
      <c r="C423" s="1"/>
      <c r="D423" s="1"/>
      <c r="E423" s="61" t="s">
        <v>239</v>
      </c>
      <c r="F423" s="29" t="s">
        <v>76</v>
      </c>
      <c r="G423" s="29">
        <v>72</v>
      </c>
      <c r="H423" s="27">
        <v>75</v>
      </c>
      <c r="I423" s="27"/>
      <c r="J423" s="27">
        <v>152</v>
      </c>
      <c r="K423" s="27">
        <v>199</v>
      </c>
      <c r="L423" s="27"/>
      <c r="M423" s="32">
        <f t="shared" si="58"/>
        <v>426</v>
      </c>
      <c r="N423" s="32" t="s">
        <v>1330</v>
      </c>
      <c r="O423" s="32"/>
      <c r="P423" s="32">
        <f t="shared" si="59"/>
        <v>425.95830000000001</v>
      </c>
      <c r="Q423" s="32">
        <f t="shared" si="60"/>
        <v>4</v>
      </c>
      <c r="R423" s="32">
        <f t="shared" ca="1" si="61"/>
        <v>0</v>
      </c>
      <c r="S423" s="33" t="s">
        <v>156</v>
      </c>
      <c r="T423" s="34">
        <f t="shared" si="62"/>
        <v>0</v>
      </c>
      <c r="U423" s="34">
        <f t="shared" ca="1" si="63"/>
        <v>199</v>
      </c>
      <c r="V423" s="34">
        <f>-SUMPRODUCT((S$6:S422=S423)*(X$6:X422=X423))</f>
        <v>0</v>
      </c>
      <c r="W423" s="34">
        <f>-SUMPRODUCT((S$6:S422=S423)*(X$6:X422=X423)*(B$6:B422&lt;&gt;"NS"))</f>
        <v>0</v>
      </c>
      <c r="X423" s="35">
        <f t="shared" si="64"/>
        <v>426.21494999999999</v>
      </c>
      <c r="Y423" s="27">
        <v>199</v>
      </c>
      <c r="Z423" s="27">
        <v>152</v>
      </c>
      <c r="AA423" s="27">
        <v>75</v>
      </c>
      <c r="AB423" s="29">
        <v>72</v>
      </c>
      <c r="AC423" s="27"/>
      <c r="AD423" s="27"/>
      <c r="AF423" s="36">
        <v>0</v>
      </c>
      <c r="AG423" s="36">
        <v>0</v>
      </c>
      <c r="AH423" s="36">
        <v>0</v>
      </c>
      <c r="AI423" s="36">
        <v>0</v>
      </c>
      <c r="AJ423" s="37">
        <v>3</v>
      </c>
      <c r="AK423" s="38">
        <v>299.11872</v>
      </c>
      <c r="AL423" s="39">
        <v>152</v>
      </c>
      <c r="AM423" s="32">
        <v>379</v>
      </c>
      <c r="AN423" s="39"/>
      <c r="AO423" s="39"/>
      <c r="AP423" s="39"/>
      <c r="AQ423" s="30"/>
      <c r="AR423" s="26"/>
      <c r="AS423" s="1"/>
    </row>
    <row r="424" spans="1:45" ht="15">
      <c r="A424" s="61">
        <v>13</v>
      </c>
      <c r="B424" s="1">
        <v>13</v>
      </c>
      <c r="C424" s="1"/>
      <c r="D424" s="1"/>
      <c r="E424" s="61" t="s">
        <v>317</v>
      </c>
      <c r="F424" s="29" t="s">
        <v>134</v>
      </c>
      <c r="G424" s="29">
        <v>57</v>
      </c>
      <c r="H424" s="27">
        <v>58</v>
      </c>
      <c r="I424" s="27">
        <v>122</v>
      </c>
      <c r="J424" s="27">
        <v>128</v>
      </c>
      <c r="K424" s="27">
        <v>161</v>
      </c>
      <c r="L424" s="27"/>
      <c r="M424" s="32">
        <f t="shared" si="58"/>
        <v>411</v>
      </c>
      <c r="N424" s="32" t="s">
        <v>1330</v>
      </c>
      <c r="O424" s="32"/>
      <c r="P424" s="32">
        <f t="shared" si="59"/>
        <v>410.95819999999998</v>
      </c>
      <c r="Q424" s="32">
        <f t="shared" si="60"/>
        <v>5</v>
      </c>
      <c r="R424" s="32">
        <f t="shared" ca="1" si="61"/>
        <v>0</v>
      </c>
      <c r="S424" s="33" t="s">
        <v>156</v>
      </c>
      <c r="T424" s="34">
        <f t="shared" si="62"/>
        <v>0</v>
      </c>
      <c r="U424" s="34">
        <f t="shared" ca="1" si="63"/>
        <v>161</v>
      </c>
      <c r="V424" s="34">
        <f>-SUMPRODUCT((S$6:S423=S424)*(X$6:X423=X424))</f>
        <v>0</v>
      </c>
      <c r="W424" s="34">
        <f>-SUMPRODUCT((S$6:S423=S424)*(X$6:X423=X424)*(B$6:B423&lt;&gt;"NS"))</f>
        <v>0</v>
      </c>
      <c r="X424" s="35">
        <f t="shared" si="64"/>
        <v>411.17502000000002</v>
      </c>
      <c r="Y424" s="27">
        <v>161</v>
      </c>
      <c r="Z424" s="27">
        <v>128</v>
      </c>
      <c r="AA424" s="27">
        <v>122</v>
      </c>
      <c r="AB424" s="27">
        <v>58</v>
      </c>
      <c r="AC424" s="29">
        <v>57</v>
      </c>
      <c r="AD424" s="27"/>
      <c r="AF424" s="36">
        <v>0</v>
      </c>
      <c r="AG424" s="36">
        <v>0</v>
      </c>
      <c r="AH424" s="36">
        <v>0</v>
      </c>
      <c r="AI424" s="36">
        <v>0</v>
      </c>
      <c r="AJ424" s="37">
        <v>4</v>
      </c>
      <c r="AK424" s="38">
        <v>308.09953700000005</v>
      </c>
      <c r="AL424" s="39">
        <v>128</v>
      </c>
      <c r="AM424" s="32">
        <v>378</v>
      </c>
      <c r="AN424" s="39"/>
      <c r="AO424" s="39"/>
      <c r="AP424" s="39"/>
      <c r="AQ424" s="30"/>
      <c r="AR424" s="26"/>
      <c r="AS424" s="1"/>
    </row>
    <row r="425" spans="1:45" ht="15">
      <c r="A425" s="61">
        <v>14</v>
      </c>
      <c r="B425" s="1">
        <v>14</v>
      </c>
      <c r="C425" s="1"/>
      <c r="D425" s="1"/>
      <c r="E425" s="61" t="s">
        <v>306</v>
      </c>
      <c r="F425" s="29" t="s">
        <v>88</v>
      </c>
      <c r="G425" s="29">
        <v>42</v>
      </c>
      <c r="H425" s="27">
        <v>66</v>
      </c>
      <c r="I425" s="27">
        <v>105</v>
      </c>
      <c r="J425" s="27">
        <v>131</v>
      </c>
      <c r="K425" s="27">
        <v>165</v>
      </c>
      <c r="L425" s="27"/>
      <c r="M425" s="32">
        <f t="shared" si="58"/>
        <v>401</v>
      </c>
      <c r="N425" s="32" t="s">
        <v>1330</v>
      </c>
      <c r="O425" s="32"/>
      <c r="P425" s="32">
        <f t="shared" si="59"/>
        <v>400.9581</v>
      </c>
      <c r="Q425" s="32">
        <f t="shared" si="60"/>
        <v>5</v>
      </c>
      <c r="R425" s="32">
        <f t="shared" ca="1" si="61"/>
        <v>0</v>
      </c>
      <c r="S425" s="33" t="s">
        <v>156</v>
      </c>
      <c r="T425" s="34">
        <f t="shared" si="62"/>
        <v>0</v>
      </c>
      <c r="U425" s="34">
        <f t="shared" ca="1" si="63"/>
        <v>165</v>
      </c>
      <c r="V425" s="34">
        <f>-SUMPRODUCT((S$6:S424=S425)*(X$6:X424=X425))</f>
        <v>0</v>
      </c>
      <c r="W425" s="34">
        <f>-SUMPRODUCT((S$6:S424=S425)*(X$6:X424=X425)*(B$6:B424&lt;&gt;"NS"))</f>
        <v>0</v>
      </c>
      <c r="X425" s="35">
        <f t="shared" si="64"/>
        <v>401.17914999999999</v>
      </c>
      <c r="Y425" s="27">
        <v>165</v>
      </c>
      <c r="Z425" s="27">
        <v>131</v>
      </c>
      <c r="AA425" s="27">
        <v>105</v>
      </c>
      <c r="AB425" s="27">
        <v>66</v>
      </c>
      <c r="AC425" s="29">
        <v>42</v>
      </c>
      <c r="AD425" s="27"/>
      <c r="AF425" s="36">
        <v>0</v>
      </c>
      <c r="AG425" s="36">
        <v>0</v>
      </c>
      <c r="AH425" s="36">
        <v>0</v>
      </c>
      <c r="AI425" s="36">
        <v>0</v>
      </c>
      <c r="AJ425" s="37">
        <v>4</v>
      </c>
      <c r="AK425" s="38">
        <v>302.10080199999993</v>
      </c>
      <c r="AL425" s="39">
        <v>131</v>
      </c>
      <c r="AM425" s="32">
        <v>367</v>
      </c>
      <c r="AN425" s="39"/>
      <c r="AO425" s="39"/>
      <c r="AP425" s="39"/>
      <c r="AQ425" s="30"/>
      <c r="AR425" s="26"/>
      <c r="AS425" s="1"/>
    </row>
    <row r="426" spans="1:45" ht="15">
      <c r="A426" s="61">
        <v>15</v>
      </c>
      <c r="B426" s="1">
        <v>15</v>
      </c>
      <c r="C426" s="1"/>
      <c r="D426" s="1"/>
      <c r="E426" s="61" t="s">
        <v>295</v>
      </c>
      <c r="F426" s="29" t="s">
        <v>88</v>
      </c>
      <c r="G426" s="29">
        <v>62</v>
      </c>
      <c r="H426" s="27">
        <v>60</v>
      </c>
      <c r="I426" s="27"/>
      <c r="J426" s="27">
        <v>147</v>
      </c>
      <c r="K426" s="27">
        <v>171</v>
      </c>
      <c r="L426" s="27"/>
      <c r="M426" s="32">
        <f t="shared" si="58"/>
        <v>380</v>
      </c>
      <c r="N426" s="32" t="s">
        <v>1330</v>
      </c>
      <c r="O426" s="32"/>
      <c r="P426" s="32">
        <f t="shared" si="59"/>
        <v>379.95800000000003</v>
      </c>
      <c r="Q426" s="32">
        <f t="shared" si="60"/>
        <v>4</v>
      </c>
      <c r="R426" s="32">
        <f t="shared" ca="1" si="61"/>
        <v>0</v>
      </c>
      <c r="S426" s="33" t="s">
        <v>156</v>
      </c>
      <c r="T426" s="34">
        <f t="shared" si="62"/>
        <v>0</v>
      </c>
      <c r="U426" s="34">
        <f t="shared" ca="1" si="63"/>
        <v>171</v>
      </c>
      <c r="V426" s="34">
        <f>-SUMPRODUCT((S$6:S425=S426)*(X$6:X425=X426))</f>
        <v>0</v>
      </c>
      <c r="W426" s="34">
        <f>-SUMPRODUCT((S$6:S425=S426)*(X$6:X425=X426)*(B$6:B425&lt;&gt;"NS"))</f>
        <v>0</v>
      </c>
      <c r="X426" s="35">
        <f t="shared" si="64"/>
        <v>380.18632000000002</v>
      </c>
      <c r="Y426" s="27">
        <v>171</v>
      </c>
      <c r="Z426" s="27">
        <v>147</v>
      </c>
      <c r="AA426" s="29">
        <v>62</v>
      </c>
      <c r="AB426" s="27">
        <v>60</v>
      </c>
      <c r="AC426" s="27"/>
      <c r="AD426" s="27"/>
      <c r="AF426" s="36">
        <v>0</v>
      </c>
      <c r="AG426" s="36">
        <v>0</v>
      </c>
      <c r="AH426" s="36">
        <v>0</v>
      </c>
      <c r="AI426" s="36">
        <v>0</v>
      </c>
      <c r="AJ426" s="37">
        <v>3</v>
      </c>
      <c r="AK426" s="38">
        <v>269.11219999999997</v>
      </c>
      <c r="AL426" s="39">
        <v>147</v>
      </c>
      <c r="AM426" s="32">
        <v>356</v>
      </c>
      <c r="AN426" s="39"/>
      <c r="AO426" s="39"/>
      <c r="AP426" s="39"/>
      <c r="AQ426" s="30"/>
      <c r="AR426" s="26"/>
      <c r="AS426" s="1"/>
    </row>
    <row r="427" spans="1:45" ht="15">
      <c r="A427" s="61">
        <v>16</v>
      </c>
      <c r="B427" s="1">
        <v>16</v>
      </c>
      <c r="C427" s="1"/>
      <c r="D427" s="1"/>
      <c r="E427" s="61" t="s">
        <v>284</v>
      </c>
      <c r="F427" s="29" t="s">
        <v>69</v>
      </c>
      <c r="G427" s="29">
        <v>60</v>
      </c>
      <c r="H427" s="27"/>
      <c r="I427" s="27"/>
      <c r="J427" s="27">
        <v>139</v>
      </c>
      <c r="K427" s="27">
        <v>179</v>
      </c>
      <c r="L427" s="27"/>
      <c r="M427" s="32">
        <f t="shared" si="58"/>
        <v>378</v>
      </c>
      <c r="N427" s="32" t="s">
        <v>1330</v>
      </c>
      <c r="O427" s="32"/>
      <c r="P427" s="32">
        <f t="shared" si="59"/>
        <v>377.9579</v>
      </c>
      <c r="Q427" s="32">
        <f t="shared" si="60"/>
        <v>3</v>
      </c>
      <c r="R427" s="32">
        <f t="shared" ca="1" si="61"/>
        <v>0</v>
      </c>
      <c r="S427" s="33" t="s">
        <v>156</v>
      </c>
      <c r="T427" s="34">
        <f t="shared" si="62"/>
        <v>0</v>
      </c>
      <c r="U427" s="34">
        <f t="shared" ca="1" si="63"/>
        <v>179</v>
      </c>
      <c r="V427" s="34">
        <f>-SUMPRODUCT((S$6:S426=S427)*(X$6:X426=X427))</f>
        <v>0</v>
      </c>
      <c r="W427" s="34">
        <f>-SUMPRODUCT((S$6:S426=S427)*(X$6:X426=X427)*(B$6:B426&lt;&gt;"NS"))</f>
        <v>0</v>
      </c>
      <c r="X427" s="35">
        <f t="shared" si="64"/>
        <v>378.19349999999997</v>
      </c>
      <c r="Y427" s="27">
        <v>179</v>
      </c>
      <c r="Z427" s="27">
        <v>139</v>
      </c>
      <c r="AA427" s="29">
        <v>60</v>
      </c>
      <c r="AB427" s="27"/>
      <c r="AC427" s="27"/>
      <c r="AD427" s="27"/>
      <c r="AF427" s="36">
        <v>0</v>
      </c>
      <c r="AG427" s="36">
        <v>0</v>
      </c>
      <c r="AH427" s="36">
        <v>0</v>
      </c>
      <c r="AI427" s="36">
        <v>0</v>
      </c>
      <c r="AJ427" s="37">
        <v>2</v>
      </c>
      <c r="AK427" s="38">
        <v>199.10290000000001</v>
      </c>
      <c r="AL427" s="39">
        <v>139</v>
      </c>
      <c r="AM427" s="32">
        <v>338</v>
      </c>
      <c r="AN427" s="39"/>
      <c r="AO427" s="39"/>
      <c r="AP427" s="39"/>
      <c r="AQ427" s="30"/>
      <c r="AR427" s="26"/>
      <c r="AS427" s="1"/>
    </row>
    <row r="428" spans="1:45" ht="15">
      <c r="A428" s="61">
        <v>17</v>
      </c>
      <c r="B428" s="1">
        <v>17</v>
      </c>
      <c r="C428" s="1"/>
      <c r="D428" s="1"/>
      <c r="E428" s="61" t="s">
        <v>313</v>
      </c>
      <c r="F428" s="29" t="s">
        <v>38</v>
      </c>
      <c r="G428" s="29">
        <v>43</v>
      </c>
      <c r="H428" s="27">
        <v>56</v>
      </c>
      <c r="I428" s="27">
        <v>91</v>
      </c>
      <c r="J428" s="27">
        <v>121</v>
      </c>
      <c r="K428" s="27">
        <v>162</v>
      </c>
      <c r="L428" s="27"/>
      <c r="M428" s="32">
        <f t="shared" si="58"/>
        <v>374</v>
      </c>
      <c r="N428" s="32" t="s">
        <v>1330</v>
      </c>
      <c r="O428" s="32"/>
      <c r="P428" s="32">
        <f t="shared" si="59"/>
        <v>373.95780000000002</v>
      </c>
      <c r="Q428" s="32">
        <f t="shared" si="60"/>
        <v>5</v>
      </c>
      <c r="R428" s="32">
        <f t="shared" ca="1" si="61"/>
        <v>0</v>
      </c>
      <c r="S428" s="33" t="s">
        <v>156</v>
      </c>
      <c r="T428" s="34">
        <f t="shared" si="62"/>
        <v>0</v>
      </c>
      <c r="U428" s="34">
        <f t="shared" ca="1" si="63"/>
        <v>162</v>
      </c>
      <c r="V428" s="34">
        <f>-SUMPRODUCT((S$6:S427=S428)*(X$6:X427=X428))</f>
        <v>0</v>
      </c>
      <c r="W428" s="34">
        <f>-SUMPRODUCT((S$6:S427=S428)*(X$6:X427=X428)*(B$6:B427&lt;&gt;"NS"))</f>
        <v>0</v>
      </c>
      <c r="X428" s="35">
        <f t="shared" si="64"/>
        <v>374.17500999999999</v>
      </c>
      <c r="Y428" s="27">
        <v>162</v>
      </c>
      <c r="Z428" s="27">
        <v>121</v>
      </c>
      <c r="AA428" s="27">
        <v>91</v>
      </c>
      <c r="AB428" s="27">
        <v>56</v>
      </c>
      <c r="AC428" s="29">
        <v>43</v>
      </c>
      <c r="AD428" s="27"/>
      <c r="AF428" s="36">
        <v>0</v>
      </c>
      <c r="AG428" s="36">
        <v>0</v>
      </c>
      <c r="AH428" s="36">
        <v>0</v>
      </c>
      <c r="AI428" s="36">
        <v>0</v>
      </c>
      <c r="AJ428" s="37">
        <v>4</v>
      </c>
      <c r="AK428" s="38">
        <v>268.08900299999999</v>
      </c>
      <c r="AL428" s="39">
        <v>121</v>
      </c>
      <c r="AM428" s="32">
        <v>333</v>
      </c>
      <c r="AN428" s="39"/>
      <c r="AO428" s="39"/>
      <c r="AP428" s="39"/>
      <c r="AQ428" s="30"/>
      <c r="AR428" s="26"/>
      <c r="AS428" s="1"/>
    </row>
    <row r="429" spans="1:45" ht="15">
      <c r="A429" s="61">
        <v>18</v>
      </c>
      <c r="B429" s="1">
        <v>18</v>
      </c>
      <c r="C429" s="1"/>
      <c r="D429" s="1"/>
      <c r="E429" s="61" t="s">
        <v>675</v>
      </c>
      <c r="F429" s="29" t="s">
        <v>76</v>
      </c>
      <c r="G429" s="29">
        <v>79</v>
      </c>
      <c r="H429" s="27">
        <v>76</v>
      </c>
      <c r="I429" s="27">
        <v>119</v>
      </c>
      <c r="J429" s="27">
        <v>144</v>
      </c>
      <c r="K429" s="27"/>
      <c r="L429" s="27"/>
      <c r="M429" s="32">
        <f t="shared" si="58"/>
        <v>342</v>
      </c>
      <c r="N429" s="32" t="s">
        <v>1330</v>
      </c>
      <c r="O429" s="32"/>
      <c r="P429" s="32">
        <f t="shared" si="59"/>
        <v>341.95769999999999</v>
      </c>
      <c r="Q429" s="32">
        <f t="shared" si="60"/>
        <v>4</v>
      </c>
      <c r="R429" s="32">
        <f t="shared" ca="1" si="61"/>
        <v>0</v>
      </c>
      <c r="S429" s="33" t="s">
        <v>156</v>
      </c>
      <c r="T429" s="34">
        <f t="shared" si="62"/>
        <v>0</v>
      </c>
      <c r="U429" s="34">
        <f t="shared" ca="1" si="63"/>
        <v>0</v>
      </c>
      <c r="V429" s="34">
        <f>-SUMPRODUCT((S$6:S428=S429)*(X$6:X428=X429))</f>
        <v>0</v>
      </c>
      <c r="W429" s="34">
        <f>-SUMPRODUCT((S$6:S428=S429)*(X$6:X428=X429)*(B$6:B428&lt;&gt;"NS"))</f>
        <v>0</v>
      </c>
      <c r="X429" s="35">
        <f t="shared" si="64"/>
        <v>342.15669000000003</v>
      </c>
      <c r="Y429" s="27">
        <v>144</v>
      </c>
      <c r="Z429" s="27">
        <v>119</v>
      </c>
      <c r="AA429" s="29">
        <v>79</v>
      </c>
      <c r="AB429" s="27">
        <v>76</v>
      </c>
      <c r="AC429" s="27"/>
      <c r="AD429" s="27"/>
      <c r="AF429" s="36">
        <v>0</v>
      </c>
      <c r="AG429" s="36">
        <v>0</v>
      </c>
      <c r="AH429" s="36">
        <v>0</v>
      </c>
      <c r="AI429" s="36">
        <v>0</v>
      </c>
      <c r="AJ429" s="37">
        <v>4</v>
      </c>
      <c r="AK429" s="38">
        <v>342.11576600000001</v>
      </c>
      <c r="AL429" s="39">
        <v>144</v>
      </c>
      <c r="AM429" s="32">
        <v>407</v>
      </c>
      <c r="AN429" s="39"/>
      <c r="AO429" s="39"/>
      <c r="AP429" s="39"/>
      <c r="AQ429" s="30"/>
      <c r="AR429" s="26"/>
      <c r="AS429" s="1"/>
    </row>
    <row r="430" spans="1:45" ht="15">
      <c r="A430" s="61">
        <v>19</v>
      </c>
      <c r="B430" s="1" t="s">
        <v>111</v>
      </c>
      <c r="C430" s="1"/>
      <c r="D430" s="1"/>
      <c r="E430" s="61" t="s">
        <v>307</v>
      </c>
      <c r="F430" s="29" t="s">
        <v>201</v>
      </c>
      <c r="G430" s="29">
        <v>36</v>
      </c>
      <c r="H430" s="27">
        <v>50</v>
      </c>
      <c r="I430" s="27"/>
      <c r="J430" s="27">
        <v>116</v>
      </c>
      <c r="K430" s="27">
        <v>164</v>
      </c>
      <c r="L430" s="27"/>
      <c r="M430" s="32">
        <f t="shared" si="58"/>
        <v>330</v>
      </c>
      <c r="N430" s="32" t="s">
        <v>1331</v>
      </c>
      <c r="O430" s="32"/>
      <c r="P430" s="32">
        <f t="shared" si="59"/>
        <v>329.95760000000001</v>
      </c>
      <c r="Q430" s="32">
        <f t="shared" si="60"/>
        <v>4</v>
      </c>
      <c r="R430" s="32">
        <f t="shared" ca="1" si="61"/>
        <v>0</v>
      </c>
      <c r="S430" s="33" t="s">
        <v>156</v>
      </c>
      <c r="T430" s="34">
        <f t="shared" si="62"/>
        <v>0</v>
      </c>
      <c r="U430" s="34">
        <f t="shared" ca="1" si="63"/>
        <v>164</v>
      </c>
      <c r="V430" s="34">
        <f>-SUMPRODUCT((S$6:S429=S430)*(X$6:X429=X430))</f>
        <v>0</v>
      </c>
      <c r="W430" s="34">
        <f>-SUMPRODUCT((S$6:S429=S430)*(X$6:X429=X430)*(B$6:B429&lt;&gt;"NS"))</f>
        <v>0</v>
      </c>
      <c r="X430" s="35">
        <f t="shared" si="64"/>
        <v>330.17610000000002</v>
      </c>
      <c r="Y430" s="27">
        <v>164</v>
      </c>
      <c r="Z430" s="27">
        <v>116</v>
      </c>
      <c r="AA430" s="27">
        <v>50</v>
      </c>
      <c r="AB430" s="29">
        <v>36</v>
      </c>
      <c r="AC430" s="27"/>
      <c r="AD430" s="27"/>
      <c r="AF430" s="36">
        <v>0</v>
      </c>
      <c r="AG430" s="36">
        <v>0</v>
      </c>
      <c r="AH430" s="36">
        <v>0</v>
      </c>
      <c r="AI430" s="36">
        <v>0</v>
      </c>
      <c r="AJ430" s="37">
        <v>3</v>
      </c>
      <c r="AK430" s="38">
        <v>202.07936000000001</v>
      </c>
      <c r="AL430" s="39">
        <v>116</v>
      </c>
      <c r="AM430" s="32">
        <v>0</v>
      </c>
      <c r="AN430" s="39"/>
      <c r="AO430" s="39"/>
      <c r="AP430" s="39"/>
      <c r="AQ430" s="30"/>
      <c r="AR430" s="26"/>
      <c r="AS430" s="1"/>
    </row>
    <row r="431" spans="1:45" ht="15">
      <c r="A431" s="61">
        <v>20</v>
      </c>
      <c r="B431" s="1">
        <v>19</v>
      </c>
      <c r="C431" s="1"/>
      <c r="D431" s="1"/>
      <c r="E431" s="61" t="s">
        <v>676</v>
      </c>
      <c r="F431" s="29" t="s">
        <v>38</v>
      </c>
      <c r="G431" s="29">
        <v>68</v>
      </c>
      <c r="H431" s="27"/>
      <c r="I431" s="27">
        <v>110</v>
      </c>
      <c r="J431" s="27">
        <v>134</v>
      </c>
      <c r="K431" s="27"/>
      <c r="L431" s="27"/>
      <c r="M431" s="32">
        <f t="shared" si="58"/>
        <v>312</v>
      </c>
      <c r="N431" s="32" t="s">
        <v>1330</v>
      </c>
      <c r="O431" s="32"/>
      <c r="P431" s="32">
        <f t="shared" si="59"/>
        <v>311.95749999999998</v>
      </c>
      <c r="Q431" s="32">
        <f t="shared" si="60"/>
        <v>3</v>
      </c>
      <c r="R431" s="32">
        <f t="shared" ca="1" si="61"/>
        <v>0</v>
      </c>
      <c r="S431" s="33" t="s">
        <v>156</v>
      </c>
      <c r="T431" s="34">
        <f t="shared" si="62"/>
        <v>0</v>
      </c>
      <c r="U431" s="34">
        <f t="shared" ca="1" si="63"/>
        <v>0</v>
      </c>
      <c r="V431" s="34">
        <f>-SUMPRODUCT((S$6:S430=S431)*(X$6:X430=X431))</f>
        <v>0</v>
      </c>
      <c r="W431" s="34">
        <f>-SUMPRODUCT((S$6:S430=S431)*(X$6:X430=X431)*(B$6:B430&lt;&gt;"NS"))</f>
        <v>0</v>
      </c>
      <c r="X431" s="35">
        <f t="shared" si="64"/>
        <v>312.14568000000003</v>
      </c>
      <c r="Y431" s="27">
        <v>134</v>
      </c>
      <c r="Z431" s="27">
        <v>110</v>
      </c>
      <c r="AA431" s="29">
        <v>68</v>
      </c>
      <c r="AB431" s="27"/>
      <c r="AC431" s="27"/>
      <c r="AD431" s="27"/>
      <c r="AF431" s="36">
        <v>0</v>
      </c>
      <c r="AG431" s="36">
        <v>0</v>
      </c>
      <c r="AH431" s="36">
        <v>0</v>
      </c>
      <c r="AI431" s="36">
        <v>0</v>
      </c>
      <c r="AJ431" s="37">
        <v>3</v>
      </c>
      <c r="AK431" s="38">
        <v>312.10448000000002</v>
      </c>
      <c r="AL431" s="39">
        <v>134</v>
      </c>
      <c r="AM431" s="32">
        <v>378</v>
      </c>
      <c r="AN431" s="39"/>
      <c r="AO431" s="39"/>
      <c r="AP431" s="39"/>
      <c r="AQ431" s="30"/>
      <c r="AR431" s="26"/>
      <c r="AS431" s="1"/>
    </row>
    <row r="432" spans="1:45" ht="15">
      <c r="A432" s="61">
        <v>21</v>
      </c>
      <c r="B432" s="1">
        <v>20</v>
      </c>
      <c r="C432" s="1"/>
      <c r="D432" s="1"/>
      <c r="E432" s="61" t="s">
        <v>677</v>
      </c>
      <c r="F432" s="29" t="s">
        <v>93</v>
      </c>
      <c r="G432" s="29"/>
      <c r="H432" s="27">
        <v>114</v>
      </c>
      <c r="I432" s="27">
        <v>144</v>
      </c>
      <c r="J432" s="27"/>
      <c r="K432" s="27"/>
      <c r="L432" s="27"/>
      <c r="M432" s="32">
        <f t="shared" si="58"/>
        <v>258</v>
      </c>
      <c r="N432" s="32" t="s">
        <v>1330</v>
      </c>
      <c r="O432" s="32"/>
      <c r="P432" s="32">
        <f t="shared" si="59"/>
        <v>257.95740000000001</v>
      </c>
      <c r="Q432" s="32">
        <f t="shared" si="60"/>
        <v>2</v>
      </c>
      <c r="R432" s="32">
        <f t="shared" ca="1" si="61"/>
        <v>0</v>
      </c>
      <c r="S432" s="33" t="s">
        <v>156</v>
      </c>
      <c r="T432" s="34">
        <f t="shared" si="62"/>
        <v>0</v>
      </c>
      <c r="U432" s="34">
        <f t="shared" ca="1" si="63"/>
        <v>0</v>
      </c>
      <c r="V432" s="34">
        <f>-SUMPRODUCT((S$6:S431=S432)*(X$6:X431=X432))</f>
        <v>0</v>
      </c>
      <c r="W432" s="34">
        <f>-SUMPRODUCT((S$6:S431=S432)*(X$6:X431=X432)*(B$6:B431&lt;&gt;"NS"))</f>
        <v>0</v>
      </c>
      <c r="X432" s="35">
        <f t="shared" si="64"/>
        <v>258.15539999999999</v>
      </c>
      <c r="Y432" s="27">
        <v>144</v>
      </c>
      <c r="Z432" s="27">
        <v>114</v>
      </c>
      <c r="AA432" s="29"/>
      <c r="AB432" s="27"/>
      <c r="AC432" s="27"/>
      <c r="AD432" s="27"/>
      <c r="AF432" s="36">
        <v>0</v>
      </c>
      <c r="AG432" s="36">
        <v>0</v>
      </c>
      <c r="AH432" s="36">
        <v>0</v>
      </c>
      <c r="AI432" s="36">
        <v>0</v>
      </c>
      <c r="AJ432" s="37">
        <v>2</v>
      </c>
      <c r="AK432" s="38">
        <v>258.11359999999996</v>
      </c>
      <c r="AL432" s="39">
        <v>144</v>
      </c>
      <c r="AM432" s="32">
        <v>402</v>
      </c>
      <c r="AN432" s="39"/>
      <c r="AO432" s="39"/>
      <c r="AP432" s="39"/>
      <c r="AQ432" s="30"/>
      <c r="AR432" s="26"/>
      <c r="AS432" s="1"/>
    </row>
    <row r="433" spans="1:45" ht="15">
      <c r="A433" s="61">
        <v>22</v>
      </c>
      <c r="B433" s="1">
        <v>21</v>
      </c>
      <c r="C433" s="1"/>
      <c r="D433" s="1"/>
      <c r="E433" s="61" t="s">
        <v>678</v>
      </c>
      <c r="F433" s="29" t="s">
        <v>50</v>
      </c>
      <c r="G433" s="29">
        <v>49</v>
      </c>
      <c r="H433" s="27">
        <v>55</v>
      </c>
      <c r="I433" s="27">
        <v>102</v>
      </c>
      <c r="J433" s="27"/>
      <c r="K433" s="27"/>
      <c r="L433" s="27"/>
      <c r="M433" s="32">
        <f t="shared" si="58"/>
        <v>206</v>
      </c>
      <c r="N433" s="32" t="s">
        <v>1330</v>
      </c>
      <c r="O433" s="32"/>
      <c r="P433" s="32">
        <f t="shared" si="59"/>
        <v>205.9573</v>
      </c>
      <c r="Q433" s="32">
        <f t="shared" si="60"/>
        <v>3</v>
      </c>
      <c r="R433" s="32">
        <f t="shared" ca="1" si="61"/>
        <v>0</v>
      </c>
      <c r="S433" s="33" t="s">
        <v>156</v>
      </c>
      <c r="T433" s="34">
        <f t="shared" si="62"/>
        <v>0</v>
      </c>
      <c r="U433" s="34">
        <f t="shared" ca="1" si="63"/>
        <v>0</v>
      </c>
      <c r="V433" s="34">
        <f>-SUMPRODUCT((S$6:S432=S433)*(X$6:X432=X433))</f>
        <v>0</v>
      </c>
      <c r="W433" s="34">
        <f>-SUMPRODUCT((S$6:S432=S433)*(X$6:X432=X433)*(B$6:B432&lt;&gt;"NS"))</f>
        <v>0</v>
      </c>
      <c r="X433" s="35">
        <f t="shared" si="64"/>
        <v>206.10799</v>
      </c>
      <c r="Y433" s="27">
        <v>102</v>
      </c>
      <c r="Z433" s="27">
        <v>55</v>
      </c>
      <c r="AA433" s="29">
        <v>49</v>
      </c>
      <c r="AB433" s="27"/>
      <c r="AC433" s="27"/>
      <c r="AD433" s="27"/>
      <c r="AF433" s="36">
        <v>0</v>
      </c>
      <c r="AG433" s="36">
        <v>0</v>
      </c>
      <c r="AH433" s="36">
        <v>0</v>
      </c>
      <c r="AI433" s="36">
        <v>0</v>
      </c>
      <c r="AJ433" s="37">
        <v>3</v>
      </c>
      <c r="AK433" s="38">
        <v>206.06609000000003</v>
      </c>
      <c r="AL433" s="39">
        <v>102</v>
      </c>
      <c r="AM433" s="32">
        <v>259</v>
      </c>
      <c r="AN433" s="39"/>
      <c r="AO433" s="39"/>
      <c r="AP433" s="39"/>
      <c r="AQ433" s="30"/>
      <c r="AR433" s="26"/>
      <c r="AS433" s="1"/>
    </row>
    <row r="434" spans="1:45" ht="15">
      <c r="A434" s="61">
        <v>23</v>
      </c>
      <c r="B434" s="1">
        <v>22</v>
      </c>
      <c r="C434" s="1"/>
      <c r="D434" s="1"/>
      <c r="E434" s="61" t="s">
        <v>679</v>
      </c>
      <c r="F434" s="29" t="s">
        <v>88</v>
      </c>
      <c r="G434" s="29"/>
      <c r="H434" s="27">
        <v>62</v>
      </c>
      <c r="I434" s="27"/>
      <c r="J434" s="27">
        <v>126</v>
      </c>
      <c r="K434" s="27"/>
      <c r="L434" s="27"/>
      <c r="M434" s="32">
        <f t="shared" si="58"/>
        <v>188</v>
      </c>
      <c r="N434" s="32" t="s">
        <v>1330</v>
      </c>
      <c r="O434" s="32"/>
      <c r="P434" s="32">
        <f t="shared" si="59"/>
        <v>187.9572</v>
      </c>
      <c r="Q434" s="32">
        <f t="shared" si="60"/>
        <v>2</v>
      </c>
      <c r="R434" s="32">
        <f t="shared" ca="1" si="61"/>
        <v>0</v>
      </c>
      <c r="S434" s="33" t="s">
        <v>156</v>
      </c>
      <c r="T434" s="34">
        <f t="shared" si="62"/>
        <v>0</v>
      </c>
      <c r="U434" s="34">
        <f t="shared" ca="1" si="63"/>
        <v>0</v>
      </c>
      <c r="V434" s="34">
        <f>-SUMPRODUCT((S$6:S433=S434)*(X$6:X433=X434))</f>
        <v>0</v>
      </c>
      <c r="W434" s="34">
        <f>-SUMPRODUCT((S$6:S433=S434)*(X$6:X433=X434)*(B$6:B433&lt;&gt;"NS"))</f>
        <v>0</v>
      </c>
      <c r="X434" s="35">
        <f t="shared" si="64"/>
        <v>188.13220000000001</v>
      </c>
      <c r="Y434" s="27">
        <v>126</v>
      </c>
      <c r="Z434" s="27">
        <v>62</v>
      </c>
      <c r="AA434" s="29"/>
      <c r="AB434" s="27"/>
      <c r="AC434" s="27"/>
      <c r="AD434" s="27"/>
      <c r="AF434" s="36">
        <v>0</v>
      </c>
      <c r="AG434" s="36">
        <v>0</v>
      </c>
      <c r="AH434" s="36">
        <v>0</v>
      </c>
      <c r="AI434" s="36">
        <v>0</v>
      </c>
      <c r="AJ434" s="37">
        <v>2</v>
      </c>
      <c r="AK434" s="38">
        <v>188.09</v>
      </c>
      <c r="AL434" s="39">
        <v>126</v>
      </c>
      <c r="AM434" s="32">
        <v>314</v>
      </c>
      <c r="AN434" s="39"/>
      <c r="AO434" s="39"/>
      <c r="AP434" s="39"/>
      <c r="AQ434" s="30"/>
      <c r="AR434" s="26"/>
      <c r="AS434" s="1"/>
    </row>
    <row r="435" spans="1:45" ht="15">
      <c r="A435" s="61">
        <v>24</v>
      </c>
      <c r="B435" s="1">
        <v>23</v>
      </c>
      <c r="C435" s="1"/>
      <c r="D435" s="1"/>
      <c r="E435" s="61" t="s">
        <v>680</v>
      </c>
      <c r="F435" s="29" t="s">
        <v>53</v>
      </c>
      <c r="G435" s="29"/>
      <c r="H435" s="27">
        <v>71</v>
      </c>
      <c r="I435" s="27">
        <v>111</v>
      </c>
      <c r="J435" s="27"/>
      <c r="K435" s="27"/>
      <c r="L435" s="27"/>
      <c r="M435" s="32">
        <f t="shared" si="58"/>
        <v>182</v>
      </c>
      <c r="N435" s="32" t="s">
        <v>1330</v>
      </c>
      <c r="O435" s="32"/>
      <c r="P435" s="32">
        <f t="shared" si="59"/>
        <v>181.9571</v>
      </c>
      <c r="Q435" s="32">
        <f t="shared" si="60"/>
        <v>2</v>
      </c>
      <c r="R435" s="32">
        <f t="shared" ca="1" si="61"/>
        <v>0</v>
      </c>
      <c r="S435" s="33" t="s">
        <v>156</v>
      </c>
      <c r="T435" s="34">
        <f t="shared" si="62"/>
        <v>0</v>
      </c>
      <c r="U435" s="34">
        <f t="shared" ca="1" si="63"/>
        <v>0</v>
      </c>
      <c r="V435" s="34">
        <f>-SUMPRODUCT((S$6:S434=S435)*(X$6:X434=X435))</f>
        <v>0</v>
      </c>
      <c r="W435" s="34">
        <f>-SUMPRODUCT((S$6:S434=S435)*(X$6:X434=X435)*(B$6:B434&lt;&gt;"NS"))</f>
        <v>0</v>
      </c>
      <c r="X435" s="35">
        <f t="shared" si="64"/>
        <v>182.1181</v>
      </c>
      <c r="Y435" s="27">
        <v>111</v>
      </c>
      <c r="Z435" s="27">
        <v>71</v>
      </c>
      <c r="AA435" s="29"/>
      <c r="AB435" s="27"/>
      <c r="AC435" s="27"/>
      <c r="AD435" s="27"/>
      <c r="AF435" s="36">
        <v>0</v>
      </c>
      <c r="AG435" s="36">
        <v>0</v>
      </c>
      <c r="AH435" s="36">
        <v>0</v>
      </c>
      <c r="AI435" s="36">
        <v>0</v>
      </c>
      <c r="AJ435" s="37">
        <v>2</v>
      </c>
      <c r="AK435" s="38">
        <v>182.07579999999999</v>
      </c>
      <c r="AL435" s="39">
        <v>111</v>
      </c>
      <c r="AM435" s="32">
        <v>293</v>
      </c>
      <c r="AN435" s="39"/>
      <c r="AO435" s="39"/>
      <c r="AP435" s="39"/>
      <c r="AQ435" s="30"/>
      <c r="AR435" s="26"/>
      <c r="AS435" s="1"/>
    </row>
    <row r="436" spans="1:45" ht="15">
      <c r="A436" s="61">
        <v>25</v>
      </c>
      <c r="B436" s="1">
        <v>24</v>
      </c>
      <c r="C436" s="1"/>
      <c r="D436" s="1"/>
      <c r="E436" s="61" t="s">
        <v>288</v>
      </c>
      <c r="F436" s="29" t="s">
        <v>57</v>
      </c>
      <c r="G436" s="29"/>
      <c r="H436" s="27"/>
      <c r="I436" s="27"/>
      <c r="J436" s="27"/>
      <c r="K436" s="27">
        <v>176</v>
      </c>
      <c r="L436" s="27"/>
      <c r="M436" s="32">
        <f t="shared" si="58"/>
        <v>176</v>
      </c>
      <c r="N436" s="32" t="s">
        <v>1330</v>
      </c>
      <c r="O436" s="32"/>
      <c r="P436" s="32">
        <f t="shared" si="59"/>
        <v>175.95699999999999</v>
      </c>
      <c r="Q436" s="32">
        <f t="shared" si="60"/>
        <v>1</v>
      </c>
      <c r="R436" s="32" t="str">
        <f t="shared" ca="1" si="61"/>
        <v>Y</v>
      </c>
      <c r="S436" s="33" t="s">
        <v>156</v>
      </c>
      <c r="T436" s="34">
        <f t="shared" si="62"/>
        <v>0</v>
      </c>
      <c r="U436" s="34">
        <f t="shared" ca="1" si="63"/>
        <v>176</v>
      </c>
      <c r="V436" s="34">
        <f>-SUMPRODUCT((S$6:S435=S436)*(X$6:X435=X436))</f>
        <v>0</v>
      </c>
      <c r="W436" s="34">
        <f>-SUMPRODUCT((S$6:S435=S436)*(X$6:X435=X436)*(B$6:B435&lt;&gt;"NS"))</f>
        <v>0</v>
      </c>
      <c r="X436" s="35">
        <f t="shared" si="64"/>
        <v>176.17599999999999</v>
      </c>
      <c r="Y436" s="27">
        <v>176</v>
      </c>
      <c r="Z436" s="29"/>
      <c r="AA436" s="27"/>
      <c r="AB436" s="27"/>
      <c r="AC436" s="27"/>
      <c r="AD436" s="27"/>
      <c r="AF436" s="36"/>
      <c r="AG436" s="36"/>
      <c r="AH436" s="36"/>
      <c r="AI436" s="36"/>
      <c r="AJ436" s="37"/>
      <c r="AK436" s="38"/>
      <c r="AL436" s="39"/>
      <c r="AM436" s="32"/>
      <c r="AN436" s="39"/>
      <c r="AO436" s="39"/>
      <c r="AP436" s="39"/>
      <c r="AQ436" s="30"/>
      <c r="AR436" s="26"/>
      <c r="AS436" s="1"/>
    </row>
    <row r="437" spans="1:45" ht="15">
      <c r="A437" s="61">
        <v>26</v>
      </c>
      <c r="B437" s="1" t="s">
        <v>111</v>
      </c>
      <c r="C437" s="1"/>
      <c r="D437" s="1"/>
      <c r="E437" s="61" t="s">
        <v>294</v>
      </c>
      <c r="F437" s="29" t="s">
        <v>201</v>
      </c>
      <c r="G437" s="29"/>
      <c r="H437" s="27"/>
      <c r="I437" s="27"/>
      <c r="J437" s="27"/>
      <c r="K437" s="27">
        <v>172</v>
      </c>
      <c r="L437" s="27"/>
      <c r="M437" s="32">
        <f t="shared" si="58"/>
        <v>172</v>
      </c>
      <c r="N437" s="32" t="s">
        <v>1331</v>
      </c>
      <c r="O437" s="32"/>
      <c r="P437" s="32">
        <f t="shared" si="59"/>
        <v>171.95689999999999</v>
      </c>
      <c r="Q437" s="32">
        <f t="shared" si="60"/>
        <v>1</v>
      </c>
      <c r="R437" s="32" t="str">
        <f t="shared" ca="1" si="61"/>
        <v>Y</v>
      </c>
      <c r="S437" s="33" t="s">
        <v>156</v>
      </c>
      <c r="T437" s="34">
        <f t="shared" si="62"/>
        <v>0</v>
      </c>
      <c r="U437" s="34">
        <f t="shared" ca="1" si="63"/>
        <v>172</v>
      </c>
      <c r="V437" s="34">
        <f>-SUMPRODUCT((S$6:S436=S437)*(X$6:X436=X437))</f>
        <v>0</v>
      </c>
      <c r="W437" s="34">
        <f>-SUMPRODUCT((S$6:S436=S437)*(X$6:X436=X437)*(B$6:B436&lt;&gt;"NS"))</f>
        <v>0</v>
      </c>
      <c r="X437" s="35">
        <f t="shared" si="64"/>
        <v>172.172</v>
      </c>
      <c r="Y437" s="27">
        <v>172</v>
      </c>
      <c r="Z437" s="29"/>
      <c r="AA437" s="27"/>
      <c r="AB437" s="27"/>
      <c r="AC437" s="27"/>
      <c r="AD437" s="27"/>
      <c r="AF437" s="36"/>
      <c r="AG437" s="36"/>
      <c r="AH437" s="36"/>
      <c r="AI437" s="36"/>
      <c r="AJ437" s="37"/>
      <c r="AK437" s="38"/>
      <c r="AL437" s="39"/>
      <c r="AM437" s="32"/>
      <c r="AN437" s="39"/>
      <c r="AO437" s="39"/>
      <c r="AP437" s="39"/>
      <c r="AQ437" s="30"/>
      <c r="AR437" s="26"/>
      <c r="AS437" s="1"/>
    </row>
    <row r="438" spans="1:45" ht="15">
      <c r="A438" s="61">
        <v>27</v>
      </c>
      <c r="B438" s="1">
        <v>25</v>
      </c>
      <c r="C438" s="1"/>
      <c r="D438" s="1"/>
      <c r="E438" s="61" t="s">
        <v>681</v>
      </c>
      <c r="F438" s="29" t="s">
        <v>84</v>
      </c>
      <c r="G438" s="29">
        <v>52</v>
      </c>
      <c r="H438" s="27"/>
      <c r="I438" s="27">
        <v>109</v>
      </c>
      <c r="J438" s="27"/>
      <c r="K438" s="27"/>
      <c r="L438" s="27"/>
      <c r="M438" s="32">
        <f t="shared" si="58"/>
        <v>161</v>
      </c>
      <c r="N438" s="32" t="s">
        <v>1330</v>
      </c>
      <c r="O438" s="32"/>
      <c r="P438" s="32">
        <f t="shared" si="59"/>
        <v>160.95679999999999</v>
      </c>
      <c r="Q438" s="32">
        <f t="shared" si="60"/>
        <v>2</v>
      </c>
      <c r="R438" s="32">
        <f t="shared" ca="1" si="61"/>
        <v>0</v>
      </c>
      <c r="S438" s="33" t="s">
        <v>156</v>
      </c>
      <c r="T438" s="34">
        <f t="shared" si="62"/>
        <v>0</v>
      </c>
      <c r="U438" s="34">
        <f t="shared" ca="1" si="63"/>
        <v>0</v>
      </c>
      <c r="V438" s="34">
        <f>-SUMPRODUCT((S$6:S437=S438)*(X$6:X437=X438))</f>
        <v>0</v>
      </c>
      <c r="W438" s="34">
        <f>-SUMPRODUCT((S$6:S437=S438)*(X$6:X437=X438)*(B$6:B437&lt;&gt;"NS"))</f>
        <v>0</v>
      </c>
      <c r="X438" s="35">
        <f t="shared" si="64"/>
        <v>161.11420000000001</v>
      </c>
      <c r="Y438" s="27">
        <v>109</v>
      </c>
      <c r="Z438" s="29">
        <v>52</v>
      </c>
      <c r="AA438" s="27"/>
      <c r="AB438" s="27"/>
      <c r="AC438" s="27"/>
      <c r="AD438" s="27"/>
      <c r="AF438" s="36">
        <v>0</v>
      </c>
      <c r="AG438" s="36">
        <v>0</v>
      </c>
      <c r="AH438" s="36">
        <v>0</v>
      </c>
      <c r="AI438" s="36">
        <v>0</v>
      </c>
      <c r="AJ438" s="37">
        <v>2</v>
      </c>
      <c r="AK438" s="38">
        <v>161.07180000000002</v>
      </c>
      <c r="AL438" s="39">
        <v>109</v>
      </c>
      <c r="AM438" s="32">
        <v>270</v>
      </c>
      <c r="AN438" s="39"/>
      <c r="AO438" s="39"/>
      <c r="AP438" s="39"/>
      <c r="AQ438" s="30"/>
      <c r="AR438" s="26"/>
      <c r="AS438" s="1"/>
    </row>
    <row r="439" spans="1:45" ht="15">
      <c r="A439" s="61">
        <v>28</v>
      </c>
      <c r="B439" s="1">
        <v>26</v>
      </c>
      <c r="C439" s="1"/>
      <c r="D439" s="1"/>
      <c r="E439" s="61" t="s">
        <v>682</v>
      </c>
      <c r="F439" s="29" t="s">
        <v>53</v>
      </c>
      <c r="G439" s="29">
        <v>121</v>
      </c>
      <c r="H439" s="27"/>
      <c r="I439" s="27"/>
      <c r="J439" s="27"/>
      <c r="K439" s="27"/>
      <c r="L439" s="27"/>
      <c r="M439" s="32">
        <f t="shared" si="58"/>
        <v>121</v>
      </c>
      <c r="N439" s="32" t="s">
        <v>1330</v>
      </c>
      <c r="O439" s="32"/>
      <c r="P439" s="32">
        <f t="shared" si="59"/>
        <v>120.9567</v>
      </c>
      <c r="Q439" s="32">
        <f t="shared" si="60"/>
        <v>1</v>
      </c>
      <c r="R439" s="32">
        <f t="shared" ca="1" si="61"/>
        <v>0</v>
      </c>
      <c r="S439" s="33" t="s">
        <v>156</v>
      </c>
      <c r="T439" s="34">
        <f t="shared" si="62"/>
        <v>0</v>
      </c>
      <c r="U439" s="34">
        <f t="shared" ca="1" si="63"/>
        <v>0</v>
      </c>
      <c r="V439" s="34">
        <f>-SUMPRODUCT((S$6:S438=S439)*(X$6:X438=X439))</f>
        <v>0</v>
      </c>
      <c r="W439" s="34">
        <f>-SUMPRODUCT((S$6:S438=S439)*(X$6:X438=X439)*(B$6:B438&lt;&gt;"NS"))</f>
        <v>0</v>
      </c>
      <c r="X439" s="35">
        <f t="shared" si="64"/>
        <v>121.121</v>
      </c>
      <c r="Y439" s="29">
        <v>121</v>
      </c>
      <c r="Z439" s="27"/>
      <c r="AA439" s="27"/>
      <c r="AB439" s="27"/>
      <c r="AC439" s="27"/>
      <c r="AD439" s="27"/>
      <c r="AF439" s="36">
        <v>0</v>
      </c>
      <c r="AG439" s="36">
        <v>0</v>
      </c>
      <c r="AH439" s="36">
        <v>0</v>
      </c>
      <c r="AI439" s="36">
        <v>0</v>
      </c>
      <c r="AJ439" s="37">
        <v>1</v>
      </c>
      <c r="AK439" s="38">
        <v>121.07849999999999</v>
      </c>
      <c r="AL439" s="39">
        <v>121</v>
      </c>
      <c r="AM439" s="32">
        <v>242</v>
      </c>
      <c r="AN439" s="39"/>
      <c r="AO439" s="39"/>
      <c r="AP439" s="39"/>
      <c r="AQ439" s="30"/>
      <c r="AR439" s="26"/>
      <c r="AS439" s="1"/>
    </row>
    <row r="440" spans="1:45" ht="15">
      <c r="A440" s="61">
        <v>29</v>
      </c>
      <c r="B440" s="1">
        <v>27</v>
      </c>
      <c r="C440" s="1"/>
      <c r="D440" s="1"/>
      <c r="E440" s="61" t="s">
        <v>683</v>
      </c>
      <c r="F440" s="29" t="s">
        <v>57</v>
      </c>
      <c r="G440" s="29">
        <v>104</v>
      </c>
      <c r="H440" s="27"/>
      <c r="I440" s="27"/>
      <c r="J440" s="27"/>
      <c r="K440" s="27"/>
      <c r="L440" s="27"/>
      <c r="M440" s="32">
        <f t="shared" si="58"/>
        <v>104</v>
      </c>
      <c r="N440" s="32" t="s">
        <v>1330</v>
      </c>
      <c r="O440" s="32"/>
      <c r="P440" s="32">
        <f t="shared" si="59"/>
        <v>103.95659999999999</v>
      </c>
      <c r="Q440" s="32">
        <f t="shared" si="60"/>
        <v>1</v>
      </c>
      <c r="R440" s="32">
        <f t="shared" ca="1" si="61"/>
        <v>0</v>
      </c>
      <c r="S440" s="33" t="s">
        <v>156</v>
      </c>
      <c r="T440" s="34">
        <f t="shared" si="62"/>
        <v>0</v>
      </c>
      <c r="U440" s="34">
        <f t="shared" ca="1" si="63"/>
        <v>0</v>
      </c>
      <c r="V440" s="34">
        <f>-SUMPRODUCT((S$6:S439=S440)*(X$6:X439=X440))</f>
        <v>0</v>
      </c>
      <c r="W440" s="34">
        <f>-SUMPRODUCT((S$6:S439=S440)*(X$6:X439=X440)*(B$6:B439&lt;&gt;"NS"))</f>
        <v>0</v>
      </c>
      <c r="X440" s="35">
        <f t="shared" si="64"/>
        <v>104.104</v>
      </c>
      <c r="Y440" s="29">
        <v>104</v>
      </c>
      <c r="Z440" s="27"/>
      <c r="AA440" s="27"/>
      <c r="AB440" s="27"/>
      <c r="AC440" s="27"/>
      <c r="AD440" s="27"/>
      <c r="AF440" s="36">
        <v>0</v>
      </c>
      <c r="AG440" s="36">
        <v>0</v>
      </c>
      <c r="AH440" s="36">
        <v>0</v>
      </c>
      <c r="AI440" s="36">
        <v>0</v>
      </c>
      <c r="AJ440" s="37">
        <v>1</v>
      </c>
      <c r="AK440" s="38">
        <v>104.06140000000001</v>
      </c>
      <c r="AL440" s="39">
        <v>104</v>
      </c>
      <c r="AM440" s="32">
        <v>208</v>
      </c>
      <c r="AN440" s="39"/>
      <c r="AO440" s="39"/>
      <c r="AP440" s="39"/>
      <c r="AQ440" s="30"/>
      <c r="AR440" s="26"/>
      <c r="AS440" s="1"/>
    </row>
    <row r="441" spans="1:45" ht="15">
      <c r="A441" s="61">
        <v>30</v>
      </c>
      <c r="B441" s="1">
        <v>28</v>
      </c>
      <c r="C441" s="1"/>
      <c r="D441" s="1"/>
      <c r="E441" s="61" t="s">
        <v>684</v>
      </c>
      <c r="F441" s="29" t="s">
        <v>47</v>
      </c>
      <c r="G441" s="29"/>
      <c r="H441" s="27"/>
      <c r="I441" s="27">
        <v>104</v>
      </c>
      <c r="J441" s="27"/>
      <c r="K441" s="27"/>
      <c r="L441" s="27"/>
      <c r="M441" s="32">
        <f t="shared" si="58"/>
        <v>104</v>
      </c>
      <c r="N441" s="32" t="s">
        <v>1330</v>
      </c>
      <c r="O441" s="32"/>
      <c r="P441" s="32">
        <f t="shared" si="59"/>
        <v>103.95650000000001</v>
      </c>
      <c r="Q441" s="32">
        <f t="shared" si="60"/>
        <v>1</v>
      </c>
      <c r="R441" s="32">
        <f t="shared" ca="1" si="61"/>
        <v>0</v>
      </c>
      <c r="S441" s="33" t="s">
        <v>156</v>
      </c>
      <c r="T441" s="34">
        <f t="shared" si="62"/>
        <v>0</v>
      </c>
      <c r="U441" s="34">
        <f t="shared" ca="1" si="63"/>
        <v>0</v>
      </c>
      <c r="V441" s="34">
        <f>-SUMPRODUCT((S$6:S440=S441)*(X$6:X440=X441))</f>
        <v>-1</v>
      </c>
      <c r="W441" s="34">
        <f>-SUMPRODUCT((S$6:S440=S441)*(X$6:X440=X441)*(B$6:B440&lt;&gt;"NS"))</f>
        <v>-1</v>
      </c>
      <c r="X441" s="35">
        <f t="shared" si="64"/>
        <v>104.104</v>
      </c>
      <c r="Y441" s="27">
        <v>104</v>
      </c>
      <c r="Z441" s="29"/>
      <c r="AA441" s="27"/>
      <c r="AB441" s="27"/>
      <c r="AC441" s="27"/>
      <c r="AD441" s="27"/>
      <c r="AF441" s="36">
        <v>0</v>
      </c>
      <c r="AG441" s="36">
        <v>0</v>
      </c>
      <c r="AH441" s="36">
        <v>0</v>
      </c>
      <c r="AI441" s="36">
        <v>0</v>
      </c>
      <c r="AJ441" s="37">
        <v>1</v>
      </c>
      <c r="AK441" s="38">
        <v>104.0613</v>
      </c>
      <c r="AL441" s="39">
        <v>104</v>
      </c>
      <c r="AM441" s="32">
        <v>208</v>
      </c>
      <c r="AN441" s="39"/>
      <c r="AO441" s="39"/>
      <c r="AP441" s="39"/>
      <c r="AQ441" s="30"/>
      <c r="AR441" s="26"/>
      <c r="AS441" s="1"/>
    </row>
    <row r="442" spans="1:45" ht="15">
      <c r="A442" s="61">
        <v>31</v>
      </c>
      <c r="B442" s="1">
        <v>29</v>
      </c>
      <c r="C442" s="1"/>
      <c r="D442" s="1"/>
      <c r="E442" s="61" t="s">
        <v>685</v>
      </c>
      <c r="F442" s="29" t="s">
        <v>38</v>
      </c>
      <c r="G442" s="29"/>
      <c r="H442" s="27"/>
      <c r="I442" s="27">
        <v>93</v>
      </c>
      <c r="J442" s="27"/>
      <c r="K442" s="27"/>
      <c r="L442" s="27"/>
      <c r="M442" s="32">
        <f t="shared" si="58"/>
        <v>93</v>
      </c>
      <c r="N442" s="32" t="s">
        <v>1330</v>
      </c>
      <c r="O442" s="32"/>
      <c r="P442" s="32">
        <f t="shared" si="59"/>
        <v>92.956400000000002</v>
      </c>
      <c r="Q442" s="32">
        <f t="shared" si="60"/>
        <v>1</v>
      </c>
      <c r="R442" s="32">
        <f t="shared" ca="1" si="61"/>
        <v>0</v>
      </c>
      <c r="S442" s="33" t="s">
        <v>156</v>
      </c>
      <c r="T442" s="34">
        <f t="shared" si="62"/>
        <v>0</v>
      </c>
      <c r="U442" s="34">
        <f t="shared" ca="1" si="63"/>
        <v>0</v>
      </c>
      <c r="V442" s="34">
        <f>-SUMPRODUCT((S$6:S441=S442)*(X$6:X441=X442))</f>
        <v>0</v>
      </c>
      <c r="W442" s="34">
        <f>-SUMPRODUCT((S$6:S441=S442)*(X$6:X441=X442)*(B$6:B441&lt;&gt;"NS"))</f>
        <v>0</v>
      </c>
      <c r="X442" s="35">
        <f t="shared" si="64"/>
        <v>93.093000000000004</v>
      </c>
      <c r="Y442" s="27">
        <v>93</v>
      </c>
      <c r="Z442" s="29"/>
      <c r="AA442" s="27"/>
      <c r="AB442" s="27"/>
      <c r="AC442" s="27"/>
      <c r="AD442" s="27"/>
      <c r="AF442" s="36">
        <v>0</v>
      </c>
      <c r="AG442" s="36">
        <v>0</v>
      </c>
      <c r="AH442" s="36">
        <v>0</v>
      </c>
      <c r="AI442" s="36">
        <v>0</v>
      </c>
      <c r="AJ442" s="37">
        <v>1</v>
      </c>
      <c r="AK442" s="38">
        <v>93.050200000000004</v>
      </c>
      <c r="AL442" s="39">
        <v>93</v>
      </c>
      <c r="AM442" s="32">
        <v>186</v>
      </c>
      <c r="AN442" s="39"/>
      <c r="AO442" s="39"/>
      <c r="AP442" s="39"/>
      <c r="AQ442" s="30"/>
      <c r="AR442" s="26"/>
      <c r="AS442" s="1"/>
    </row>
    <row r="443" spans="1:45" ht="5.0999999999999996" customHeight="1">
      <c r="F443" s="27"/>
      <c r="G443" s="27"/>
      <c r="H443" s="27"/>
      <c r="I443" s="27"/>
      <c r="J443" s="27"/>
      <c r="K443" s="27"/>
      <c r="L443" s="27"/>
      <c r="M443" s="32"/>
      <c r="N443" s="27"/>
      <c r="O443" s="27"/>
      <c r="P443" s="32"/>
      <c r="Q443" s="27"/>
      <c r="R443" s="27"/>
      <c r="T443" s="62"/>
      <c r="U443" s="62"/>
      <c r="V443" s="62"/>
      <c r="W443" s="62"/>
      <c r="X443" s="34"/>
      <c r="Y443" s="27"/>
      <c r="Z443" s="27"/>
      <c r="AA443" s="27"/>
      <c r="AB443" s="27"/>
      <c r="AC443" s="27"/>
      <c r="AD443" s="27"/>
      <c r="AJ443" s="63"/>
      <c r="AK443" s="63"/>
      <c r="AL443" s="26"/>
      <c r="AM443" s="26"/>
      <c r="AN443" s="39"/>
      <c r="AO443" s="39"/>
      <c r="AP443" s="39"/>
      <c r="AQ443" s="30"/>
      <c r="AR443" s="26"/>
      <c r="AS443" s="1"/>
    </row>
    <row r="444" spans="1:45">
      <c r="F444" s="27"/>
      <c r="G444" s="27"/>
      <c r="H444" s="27"/>
      <c r="I444" s="27"/>
      <c r="J444" s="27"/>
      <c r="K444" s="27"/>
      <c r="L444" s="27"/>
      <c r="M444" s="32"/>
      <c r="N444" s="27"/>
      <c r="O444" s="27"/>
      <c r="P444" s="32"/>
      <c r="Q444" s="27"/>
      <c r="R444" s="27"/>
      <c r="T444" s="62"/>
      <c r="U444" s="62"/>
      <c r="V444" s="62"/>
      <c r="W444" s="62"/>
      <c r="X444" s="34"/>
      <c r="Y444" s="27"/>
      <c r="Z444" s="27"/>
      <c r="AA444" s="27"/>
      <c r="AB444" s="27"/>
      <c r="AC444" s="27"/>
      <c r="AD444" s="27"/>
      <c r="AJ444" s="63"/>
      <c r="AK444" s="63"/>
      <c r="AL444" s="26"/>
      <c r="AM444" s="26"/>
      <c r="AN444" s="39"/>
      <c r="AO444" s="39"/>
      <c r="AP444" s="39"/>
      <c r="AQ444" s="30"/>
      <c r="AR444" s="26"/>
      <c r="AS444" s="1"/>
    </row>
    <row r="445" spans="1:45" ht="15">
      <c r="A445" s="60"/>
      <c r="B445" s="60"/>
      <c r="C445" s="60"/>
      <c r="D445" s="60"/>
      <c r="E445" s="60" t="s">
        <v>203</v>
      </c>
      <c r="F445" s="27"/>
      <c r="G445" s="27"/>
      <c r="H445" s="27"/>
      <c r="I445" s="27"/>
      <c r="J445" s="27"/>
      <c r="K445" s="27"/>
      <c r="L445" s="27"/>
      <c r="M445" s="32"/>
      <c r="N445" s="27"/>
      <c r="O445" s="27"/>
      <c r="P445" s="32"/>
      <c r="Q445" s="27"/>
      <c r="R445" s="27"/>
      <c r="S445" s="52" t="str">
        <f>E445</f>
        <v>M70</v>
      </c>
      <c r="T445" s="62"/>
      <c r="U445" s="62"/>
      <c r="V445" s="62"/>
      <c r="W445" s="62"/>
      <c r="X445" s="34"/>
      <c r="Y445" s="27"/>
      <c r="Z445" s="27"/>
      <c r="AA445" s="27"/>
      <c r="AB445" s="27"/>
      <c r="AC445" s="27"/>
      <c r="AD445" s="27"/>
      <c r="AJ445" s="63"/>
      <c r="AK445" s="63"/>
      <c r="AL445" s="26"/>
      <c r="AM445" s="26"/>
      <c r="AN445" s="39">
        <v>449</v>
      </c>
      <c r="AO445" s="39">
        <v>438</v>
      </c>
      <c r="AP445" s="39">
        <v>411</v>
      </c>
      <c r="AQ445" s="30"/>
      <c r="AR445" s="26"/>
      <c r="AS445" s="1"/>
    </row>
    <row r="446" spans="1:45" ht="15">
      <c r="A446" s="61">
        <v>1</v>
      </c>
      <c r="B446" s="61">
        <v>1</v>
      </c>
      <c r="C446" s="61"/>
      <c r="D446" s="61"/>
      <c r="E446" s="61" t="s">
        <v>202</v>
      </c>
      <c r="F446" s="29" t="s">
        <v>50</v>
      </c>
      <c r="G446" s="29">
        <v>131</v>
      </c>
      <c r="H446" s="27">
        <v>147</v>
      </c>
      <c r="I446" s="27">
        <v>171</v>
      </c>
      <c r="J446" s="27"/>
      <c r="K446" s="27">
        <v>217</v>
      </c>
      <c r="L446" s="27"/>
      <c r="M446" s="32">
        <f t="shared" ref="M446:M457" si="65">IFERROR(LARGE(G446:L446,1),0)+IF($F$5&gt;=2,IFERROR(LARGE(G446:L446,2),0),0)+IF($F$5&gt;=3,IFERROR(LARGE(G446:L446,3),0),0)+IF($F$5&gt;=4,IFERROR(LARGE(G446:L446,4),0),0)+IF($F$5&gt;=5,IFERROR(LARGE(G446:L446,5),0),0)+IF($F$5&gt;=6,IFERROR(LARGE(G446:L446,6),0),0)</f>
        <v>535</v>
      </c>
      <c r="N446" s="32" t="s">
        <v>1330</v>
      </c>
      <c r="O446" s="32" t="s">
        <v>686</v>
      </c>
      <c r="P446" s="32">
        <f t="shared" ref="P446:P457" si="66">M446-(ROW(M446)-ROW(M$6))/10000</f>
        <v>534.95600000000002</v>
      </c>
      <c r="Q446" s="32">
        <f t="shared" ref="Q446:Q457" si="67">COUNT(G446:L446)</f>
        <v>4</v>
      </c>
      <c r="R446" s="32">
        <f t="shared" ref="R446:R457" ca="1" si="68">IF(AND(Q446=1,OFFSET(F446,0,R$3)&gt;0),"Y",0)</f>
        <v>0</v>
      </c>
      <c r="S446" s="33" t="s">
        <v>203</v>
      </c>
      <c r="T446" s="34">
        <f t="shared" ref="T446:T457" si="69">1-(S446=S445)</f>
        <v>0</v>
      </c>
      <c r="U446" s="34">
        <f t="shared" ref="U446:U457" ca="1" si="70">OFFSET(F446,0,$R$3)</f>
        <v>217</v>
      </c>
      <c r="V446" s="34">
        <f>-SUMPRODUCT((S$6:S445=S446)*(X$6:X445=X446))</f>
        <v>0</v>
      </c>
      <c r="W446" s="34">
        <f>-SUMPRODUCT((S$6:S445=S446)*(X$6:X445=X446)*(B$6:B445&lt;&gt;"NS"))</f>
        <v>0</v>
      </c>
      <c r="X446" s="35">
        <f t="shared" ref="X446:X457" si="71">M446+SUMPRODUCT(Y$4:AD$4,Y446:AD446)</f>
        <v>535.23557000000005</v>
      </c>
      <c r="Y446" s="27">
        <v>217</v>
      </c>
      <c r="Z446" s="27">
        <v>171</v>
      </c>
      <c r="AA446" s="27">
        <v>147</v>
      </c>
      <c r="AB446" s="29">
        <v>131</v>
      </c>
      <c r="AC446" s="27"/>
      <c r="AD446" s="27"/>
      <c r="AF446" s="36">
        <v>0</v>
      </c>
      <c r="AG446" s="36">
        <v>0</v>
      </c>
      <c r="AH446" s="36">
        <v>0</v>
      </c>
      <c r="AI446" s="36">
        <v>0</v>
      </c>
      <c r="AJ446" s="37">
        <v>3</v>
      </c>
      <c r="AK446" s="38">
        <v>449.14380999999997</v>
      </c>
      <c r="AL446" s="39">
        <v>171</v>
      </c>
      <c r="AM446" s="32">
        <v>489</v>
      </c>
      <c r="AN446" s="39" t="s">
        <v>686</v>
      </c>
      <c r="AO446" s="39" t="s">
        <v>687</v>
      </c>
      <c r="AP446" s="39" t="s">
        <v>688</v>
      </c>
      <c r="AQ446" s="30"/>
      <c r="AR446" s="26"/>
      <c r="AS446" s="1"/>
    </row>
    <row r="447" spans="1:45" ht="15">
      <c r="A447" s="61">
        <v>2</v>
      </c>
      <c r="B447" s="61">
        <v>2</v>
      </c>
      <c r="C447" s="61"/>
      <c r="D447" s="61"/>
      <c r="E447" s="61" t="s">
        <v>248</v>
      </c>
      <c r="F447" s="29" t="s">
        <v>50</v>
      </c>
      <c r="G447" s="29">
        <v>113</v>
      </c>
      <c r="H447" s="27">
        <v>98</v>
      </c>
      <c r="I447" s="27">
        <v>153</v>
      </c>
      <c r="J447" s="27">
        <v>172</v>
      </c>
      <c r="K447" s="27">
        <v>194</v>
      </c>
      <c r="L447" s="27"/>
      <c r="M447" s="32">
        <f t="shared" si="65"/>
        <v>519</v>
      </c>
      <c r="N447" s="32" t="s">
        <v>1330</v>
      </c>
      <c r="O447" s="32" t="s">
        <v>687</v>
      </c>
      <c r="P447" s="32">
        <f t="shared" si="66"/>
        <v>518.95590000000004</v>
      </c>
      <c r="Q447" s="32">
        <f t="shared" si="67"/>
        <v>5</v>
      </c>
      <c r="R447" s="32">
        <f t="shared" ca="1" si="68"/>
        <v>0</v>
      </c>
      <c r="S447" s="33" t="s">
        <v>203</v>
      </c>
      <c r="T447" s="34">
        <f t="shared" si="69"/>
        <v>0</v>
      </c>
      <c r="U447" s="34">
        <f t="shared" ca="1" si="70"/>
        <v>194</v>
      </c>
      <c r="V447" s="34">
        <f>-SUMPRODUCT((S$6:S446=S447)*(X$6:X446=X447))</f>
        <v>0</v>
      </c>
      <c r="W447" s="34">
        <f>-SUMPRODUCT((S$6:S446=S447)*(X$6:X446=X447)*(B$6:B446&lt;&gt;"NS"))</f>
        <v>0</v>
      </c>
      <c r="X447" s="35">
        <f t="shared" si="71"/>
        <v>519.21272999999997</v>
      </c>
      <c r="Y447" s="27">
        <v>194</v>
      </c>
      <c r="Z447" s="27">
        <v>172</v>
      </c>
      <c r="AA447" s="27">
        <v>153</v>
      </c>
      <c r="AB447" s="29">
        <v>113</v>
      </c>
      <c r="AC447" s="27">
        <v>98</v>
      </c>
      <c r="AD447" s="27"/>
      <c r="AF447" s="36">
        <v>0</v>
      </c>
      <c r="AG447" s="36">
        <v>0</v>
      </c>
      <c r="AH447" s="36">
        <v>0</v>
      </c>
      <c r="AI447" s="36">
        <v>0</v>
      </c>
      <c r="AJ447" s="37">
        <v>4</v>
      </c>
      <c r="AK447" s="38">
        <v>438.14522800000003</v>
      </c>
      <c r="AL447" s="39">
        <v>172</v>
      </c>
      <c r="AM447" s="32">
        <v>497</v>
      </c>
      <c r="AN447" s="39" t="s">
        <v>686</v>
      </c>
      <c r="AO447" s="39" t="s">
        <v>687</v>
      </c>
      <c r="AP447" s="39" t="s">
        <v>688</v>
      </c>
      <c r="AQ447" s="30"/>
      <c r="AR447" s="26"/>
      <c r="AS447" s="1"/>
    </row>
    <row r="448" spans="1:45" ht="15">
      <c r="A448" s="61">
        <v>3</v>
      </c>
      <c r="B448" s="61">
        <v>3</v>
      </c>
      <c r="C448" s="61"/>
      <c r="D448" s="61"/>
      <c r="E448" s="61" t="s">
        <v>261</v>
      </c>
      <c r="F448" s="29" t="s">
        <v>103</v>
      </c>
      <c r="G448" s="29">
        <v>117</v>
      </c>
      <c r="H448" s="27">
        <v>124</v>
      </c>
      <c r="I448" s="27"/>
      <c r="J448" s="27">
        <v>170</v>
      </c>
      <c r="K448" s="27">
        <v>191</v>
      </c>
      <c r="L448" s="27"/>
      <c r="M448" s="32">
        <f t="shared" si="65"/>
        <v>485</v>
      </c>
      <c r="N448" s="32" t="s">
        <v>1330</v>
      </c>
      <c r="O448" s="32" t="s">
        <v>688</v>
      </c>
      <c r="P448" s="32">
        <f t="shared" si="66"/>
        <v>484.95580000000001</v>
      </c>
      <c r="Q448" s="32">
        <f t="shared" si="67"/>
        <v>4</v>
      </c>
      <c r="R448" s="32">
        <f t="shared" ca="1" si="68"/>
        <v>0</v>
      </c>
      <c r="S448" s="33" t="s">
        <v>203</v>
      </c>
      <c r="T448" s="34">
        <f t="shared" si="69"/>
        <v>0</v>
      </c>
      <c r="U448" s="34">
        <f t="shared" ca="1" si="70"/>
        <v>191</v>
      </c>
      <c r="V448" s="34">
        <f>-SUMPRODUCT((S$6:S447=S448)*(X$6:X447=X448))</f>
        <v>0</v>
      </c>
      <c r="W448" s="34">
        <f>-SUMPRODUCT((S$6:S447=S448)*(X$6:X447=X448)*(B$6:B447&lt;&gt;"NS"))</f>
        <v>0</v>
      </c>
      <c r="X448" s="35">
        <f t="shared" si="71"/>
        <v>485.20924000000002</v>
      </c>
      <c r="Y448" s="27">
        <v>191</v>
      </c>
      <c r="Z448" s="27">
        <v>170</v>
      </c>
      <c r="AA448" s="27">
        <v>124</v>
      </c>
      <c r="AB448" s="29">
        <v>117</v>
      </c>
      <c r="AC448" s="27"/>
      <c r="AD448" s="27"/>
      <c r="AF448" s="36">
        <v>0</v>
      </c>
      <c r="AG448" s="36">
        <v>0</v>
      </c>
      <c r="AH448" s="36">
        <v>0</v>
      </c>
      <c r="AI448" s="36">
        <v>0</v>
      </c>
      <c r="AJ448" s="37">
        <v>3</v>
      </c>
      <c r="AK448" s="38">
        <v>411.14017000000001</v>
      </c>
      <c r="AL448" s="39">
        <v>170</v>
      </c>
      <c r="AM448" s="32">
        <v>464</v>
      </c>
      <c r="AN448" s="39" t="s">
        <v>686</v>
      </c>
      <c r="AO448" s="39" t="s">
        <v>687</v>
      </c>
      <c r="AP448" s="39" t="s">
        <v>688</v>
      </c>
      <c r="AQ448" s="30"/>
      <c r="AR448" s="26"/>
      <c r="AS448" s="1"/>
    </row>
    <row r="449" spans="1:45" ht="15">
      <c r="A449" s="61">
        <v>4</v>
      </c>
      <c r="B449" s="61">
        <v>4</v>
      </c>
      <c r="C449" s="61"/>
      <c r="D449" s="61"/>
      <c r="E449" s="61" t="s">
        <v>276</v>
      </c>
      <c r="F449" s="29" t="s">
        <v>38</v>
      </c>
      <c r="G449" s="29">
        <v>55</v>
      </c>
      <c r="H449" s="27">
        <v>69</v>
      </c>
      <c r="I449" s="27">
        <v>117</v>
      </c>
      <c r="J449" s="27">
        <v>125</v>
      </c>
      <c r="K449" s="27">
        <v>183</v>
      </c>
      <c r="L449" s="27"/>
      <c r="M449" s="32">
        <f t="shared" si="65"/>
        <v>425</v>
      </c>
      <c r="N449" s="32" t="s">
        <v>1330</v>
      </c>
      <c r="O449" s="32"/>
      <c r="P449" s="32">
        <f t="shared" si="66"/>
        <v>424.95569999999998</v>
      </c>
      <c r="Q449" s="32">
        <f t="shared" si="67"/>
        <v>5</v>
      </c>
      <c r="R449" s="32">
        <f t="shared" ca="1" si="68"/>
        <v>0</v>
      </c>
      <c r="S449" s="33" t="s">
        <v>203</v>
      </c>
      <c r="T449" s="34">
        <f t="shared" si="69"/>
        <v>0</v>
      </c>
      <c r="U449" s="34">
        <f t="shared" ca="1" si="70"/>
        <v>183</v>
      </c>
      <c r="V449" s="34">
        <f>-SUMPRODUCT((S$6:S448=S449)*(X$6:X448=X449))</f>
        <v>0</v>
      </c>
      <c r="W449" s="34">
        <f>-SUMPRODUCT((S$6:S448=S449)*(X$6:X448=X449)*(B$6:B448&lt;&gt;"NS"))</f>
        <v>0</v>
      </c>
      <c r="X449" s="35">
        <f t="shared" si="71"/>
        <v>425.19666999999998</v>
      </c>
      <c r="Y449" s="27">
        <v>183</v>
      </c>
      <c r="Z449" s="27">
        <v>125</v>
      </c>
      <c r="AA449" s="27">
        <v>117</v>
      </c>
      <c r="AB449" s="27">
        <v>69</v>
      </c>
      <c r="AC449" s="29">
        <v>55</v>
      </c>
      <c r="AD449" s="27"/>
      <c r="AF449" s="36">
        <v>0</v>
      </c>
      <c r="AG449" s="36">
        <v>0</v>
      </c>
      <c r="AH449" s="36">
        <v>0</v>
      </c>
      <c r="AI449" s="36">
        <v>0</v>
      </c>
      <c r="AJ449" s="37">
        <v>4</v>
      </c>
      <c r="AK449" s="38">
        <v>311.09384499999999</v>
      </c>
      <c r="AL449" s="39">
        <v>125</v>
      </c>
      <c r="AM449" s="32">
        <v>367</v>
      </c>
      <c r="AN449" s="39"/>
      <c r="AO449" s="39"/>
      <c r="AP449" s="39"/>
      <c r="AQ449" s="30"/>
      <c r="AR449" s="26"/>
      <c r="AS449" s="1"/>
    </row>
    <row r="450" spans="1:45" ht="15">
      <c r="A450" s="61">
        <v>5</v>
      </c>
      <c r="B450" s="61">
        <v>5</v>
      </c>
      <c r="C450" s="61"/>
      <c r="D450" s="61"/>
      <c r="E450" s="61" t="s">
        <v>689</v>
      </c>
      <c r="F450" s="29" t="s">
        <v>47</v>
      </c>
      <c r="G450" s="29">
        <v>91</v>
      </c>
      <c r="H450" s="27">
        <v>102</v>
      </c>
      <c r="I450" s="27">
        <v>137</v>
      </c>
      <c r="J450" s="27"/>
      <c r="K450" s="27"/>
      <c r="L450" s="27"/>
      <c r="M450" s="32">
        <f t="shared" si="65"/>
        <v>330</v>
      </c>
      <c r="N450" s="32" t="s">
        <v>1330</v>
      </c>
      <c r="O450" s="32"/>
      <c r="P450" s="32">
        <f t="shared" si="66"/>
        <v>329.9556</v>
      </c>
      <c r="Q450" s="32">
        <f t="shared" si="67"/>
        <v>3</v>
      </c>
      <c r="R450" s="32">
        <f t="shared" ca="1" si="68"/>
        <v>0</v>
      </c>
      <c r="S450" s="33" t="s">
        <v>203</v>
      </c>
      <c r="T450" s="34">
        <f t="shared" si="69"/>
        <v>0</v>
      </c>
      <c r="U450" s="34">
        <f t="shared" ca="1" si="70"/>
        <v>0</v>
      </c>
      <c r="V450" s="34">
        <f>-SUMPRODUCT((S$6:S449=S450)*(X$6:X449=X450))</f>
        <v>0</v>
      </c>
      <c r="W450" s="34">
        <f>-SUMPRODUCT((S$6:S449=S450)*(X$6:X449=X450)*(B$6:B449&lt;&gt;"NS"))</f>
        <v>0</v>
      </c>
      <c r="X450" s="35">
        <f t="shared" si="71"/>
        <v>330.14810999999997</v>
      </c>
      <c r="Y450" s="27">
        <v>137</v>
      </c>
      <c r="Z450" s="27">
        <v>102</v>
      </c>
      <c r="AA450" s="29">
        <v>91</v>
      </c>
      <c r="AB450" s="27"/>
      <c r="AC450" s="27"/>
      <c r="AD450" s="27"/>
      <c r="AF450" s="36">
        <v>0</v>
      </c>
      <c r="AG450" s="36">
        <v>0</v>
      </c>
      <c r="AH450" s="36">
        <v>0</v>
      </c>
      <c r="AI450" s="36">
        <v>0</v>
      </c>
      <c r="AJ450" s="37">
        <v>3</v>
      </c>
      <c r="AK450" s="38">
        <v>330.10460999999998</v>
      </c>
      <c r="AL450" s="39">
        <v>137</v>
      </c>
      <c r="AM450" s="32">
        <v>376</v>
      </c>
      <c r="AN450" s="39"/>
      <c r="AO450" s="39"/>
      <c r="AP450" s="39"/>
      <c r="AQ450" s="30"/>
      <c r="AR450" s="26"/>
      <c r="AS450" s="1"/>
    </row>
    <row r="451" spans="1:45" ht="15">
      <c r="A451" s="61">
        <v>6</v>
      </c>
      <c r="B451" s="61">
        <v>6</v>
      </c>
      <c r="C451" s="61"/>
      <c r="D451" s="61"/>
      <c r="E451" s="61" t="s">
        <v>343</v>
      </c>
      <c r="F451" s="29" t="s">
        <v>47</v>
      </c>
      <c r="G451" s="29"/>
      <c r="H451" s="27"/>
      <c r="I451" s="27"/>
      <c r="J451" s="27">
        <v>114</v>
      </c>
      <c r="K451" s="27">
        <v>155</v>
      </c>
      <c r="L451" s="27"/>
      <c r="M451" s="32">
        <f t="shared" si="65"/>
        <v>269</v>
      </c>
      <c r="N451" s="32" t="s">
        <v>1330</v>
      </c>
      <c r="O451" s="32"/>
      <c r="P451" s="32">
        <f t="shared" si="66"/>
        <v>268.95549999999997</v>
      </c>
      <c r="Q451" s="32">
        <f t="shared" si="67"/>
        <v>2</v>
      </c>
      <c r="R451" s="32">
        <f t="shared" ca="1" si="68"/>
        <v>0</v>
      </c>
      <c r="S451" s="33" t="s">
        <v>203</v>
      </c>
      <c r="T451" s="34">
        <f t="shared" si="69"/>
        <v>0</v>
      </c>
      <c r="U451" s="34">
        <f t="shared" ca="1" si="70"/>
        <v>155</v>
      </c>
      <c r="V451" s="34">
        <f>-SUMPRODUCT((S$6:S450=S451)*(X$6:X450=X451))</f>
        <v>0</v>
      </c>
      <c r="W451" s="34">
        <f>-SUMPRODUCT((S$6:S450=S451)*(X$6:X450=X451)*(B$6:B450&lt;&gt;"NS"))</f>
        <v>0</v>
      </c>
      <c r="X451" s="35">
        <f t="shared" si="71"/>
        <v>269.16640000000001</v>
      </c>
      <c r="Y451" s="27">
        <v>155</v>
      </c>
      <c r="Z451" s="27">
        <v>114</v>
      </c>
      <c r="AA451" s="29"/>
      <c r="AB451" s="27"/>
      <c r="AC451" s="27"/>
      <c r="AD451" s="27"/>
      <c r="AF451" s="36">
        <v>0</v>
      </c>
      <c r="AG451" s="36">
        <v>0</v>
      </c>
      <c r="AH451" s="36">
        <v>0</v>
      </c>
      <c r="AI451" s="36">
        <v>0</v>
      </c>
      <c r="AJ451" s="37">
        <v>1</v>
      </c>
      <c r="AK451" s="38">
        <v>114.0702</v>
      </c>
      <c r="AL451" s="39">
        <v>114</v>
      </c>
      <c r="AM451" s="32">
        <v>228</v>
      </c>
      <c r="AN451" s="39"/>
      <c r="AO451" s="39"/>
      <c r="AP451" s="39"/>
      <c r="AQ451" s="30"/>
      <c r="AR451" s="26"/>
      <c r="AS451" s="1"/>
    </row>
    <row r="452" spans="1:45" ht="15">
      <c r="A452" s="61">
        <v>7</v>
      </c>
      <c r="B452" s="61">
        <v>7</v>
      </c>
      <c r="C452" s="61"/>
      <c r="D452" s="61"/>
      <c r="E452" s="61" t="s">
        <v>690</v>
      </c>
      <c r="F452" s="29" t="s">
        <v>47</v>
      </c>
      <c r="G452" s="29">
        <v>46</v>
      </c>
      <c r="H452" s="27">
        <v>53</v>
      </c>
      <c r="I452" s="27">
        <v>96</v>
      </c>
      <c r="J452" s="27"/>
      <c r="K452" s="27"/>
      <c r="L452" s="27"/>
      <c r="M452" s="32">
        <f t="shared" si="65"/>
        <v>195</v>
      </c>
      <c r="N452" s="32" t="s">
        <v>1330</v>
      </c>
      <c r="O452" s="32"/>
      <c r="P452" s="32">
        <f t="shared" si="66"/>
        <v>194.9554</v>
      </c>
      <c r="Q452" s="32">
        <f t="shared" si="67"/>
        <v>3</v>
      </c>
      <c r="R452" s="32">
        <f t="shared" ca="1" si="68"/>
        <v>0</v>
      </c>
      <c r="S452" s="33" t="s">
        <v>203</v>
      </c>
      <c r="T452" s="34">
        <f t="shared" si="69"/>
        <v>0</v>
      </c>
      <c r="U452" s="34">
        <f t="shared" ca="1" si="70"/>
        <v>0</v>
      </c>
      <c r="V452" s="34">
        <f>-SUMPRODUCT((S$6:S451=S452)*(X$6:X451=X452))</f>
        <v>0</v>
      </c>
      <c r="W452" s="34">
        <f>-SUMPRODUCT((S$6:S451=S452)*(X$6:X451=X452)*(B$6:B451&lt;&gt;"NS"))</f>
        <v>0</v>
      </c>
      <c r="X452" s="35">
        <f t="shared" si="71"/>
        <v>195.10176000000001</v>
      </c>
      <c r="Y452" s="27">
        <v>96</v>
      </c>
      <c r="Z452" s="27">
        <v>53</v>
      </c>
      <c r="AA452" s="29">
        <v>46</v>
      </c>
      <c r="AB452" s="27"/>
      <c r="AC452" s="27"/>
      <c r="AD452" s="27"/>
      <c r="AF452" s="36">
        <v>0</v>
      </c>
      <c r="AG452" s="36">
        <v>0</v>
      </c>
      <c r="AH452" s="36">
        <v>0</v>
      </c>
      <c r="AI452" s="36">
        <v>0</v>
      </c>
      <c r="AJ452" s="37">
        <v>3</v>
      </c>
      <c r="AK452" s="38">
        <v>195.05806000000001</v>
      </c>
      <c r="AL452" s="39">
        <v>96</v>
      </c>
      <c r="AM452" s="32">
        <v>245</v>
      </c>
      <c r="AN452" s="39"/>
      <c r="AO452" s="39"/>
      <c r="AP452" s="39"/>
      <c r="AQ452" s="30"/>
      <c r="AR452" s="26"/>
      <c r="AS452" s="1"/>
    </row>
    <row r="453" spans="1:45" ht="15">
      <c r="A453" s="61">
        <v>8</v>
      </c>
      <c r="B453" s="61">
        <v>8</v>
      </c>
      <c r="C453" s="61"/>
      <c r="D453" s="61"/>
      <c r="E453" s="61" t="s">
        <v>329</v>
      </c>
      <c r="F453" s="29" t="s">
        <v>84</v>
      </c>
      <c r="G453" s="29">
        <v>30</v>
      </c>
      <c r="H453" s="27"/>
      <c r="I453" s="27"/>
      <c r="J453" s="27"/>
      <c r="K453" s="27">
        <v>158</v>
      </c>
      <c r="L453" s="27"/>
      <c r="M453" s="32">
        <f t="shared" si="65"/>
        <v>188</v>
      </c>
      <c r="N453" s="32" t="s">
        <v>1330</v>
      </c>
      <c r="O453" s="32"/>
      <c r="P453" s="32">
        <f t="shared" si="66"/>
        <v>187.95529999999999</v>
      </c>
      <c r="Q453" s="32">
        <f t="shared" si="67"/>
        <v>2</v>
      </c>
      <c r="R453" s="32">
        <f t="shared" ca="1" si="68"/>
        <v>0</v>
      </c>
      <c r="S453" s="33" t="s">
        <v>203</v>
      </c>
      <c r="T453" s="34">
        <f t="shared" si="69"/>
        <v>0</v>
      </c>
      <c r="U453" s="34">
        <f t="shared" ca="1" si="70"/>
        <v>158</v>
      </c>
      <c r="V453" s="34">
        <f>-SUMPRODUCT((S$6:S452=S453)*(X$6:X452=X453))</f>
        <v>0</v>
      </c>
      <c r="W453" s="34">
        <f>-SUMPRODUCT((S$6:S452=S453)*(X$6:X452=X453)*(B$6:B452&lt;&gt;"NS"))</f>
        <v>0</v>
      </c>
      <c r="X453" s="35">
        <f t="shared" si="71"/>
        <v>188.161</v>
      </c>
      <c r="Y453" s="27">
        <v>158</v>
      </c>
      <c r="Z453" s="29">
        <v>30</v>
      </c>
      <c r="AA453" s="27"/>
      <c r="AB453" s="27"/>
      <c r="AC453" s="27"/>
      <c r="AD453" s="27"/>
      <c r="AF453" s="36">
        <v>0</v>
      </c>
      <c r="AG453" s="36">
        <v>0</v>
      </c>
      <c r="AH453" s="36">
        <v>0</v>
      </c>
      <c r="AI453" s="36">
        <v>0</v>
      </c>
      <c r="AJ453" s="37">
        <v>1</v>
      </c>
      <c r="AK453" s="38">
        <v>29.985700000000001</v>
      </c>
      <c r="AL453" s="39">
        <v>30</v>
      </c>
      <c r="AM453" s="32">
        <v>60</v>
      </c>
      <c r="AN453" s="39"/>
      <c r="AO453" s="39"/>
      <c r="AP453" s="39"/>
      <c r="AQ453" s="30"/>
      <c r="AR453" s="26"/>
      <c r="AS453" s="1"/>
    </row>
    <row r="454" spans="1:45" ht="15">
      <c r="A454" s="61">
        <v>9</v>
      </c>
      <c r="B454" s="61">
        <v>9</v>
      </c>
      <c r="C454" s="61"/>
      <c r="D454" s="61"/>
      <c r="E454" s="61" t="s">
        <v>691</v>
      </c>
      <c r="F454" s="29" t="s">
        <v>134</v>
      </c>
      <c r="G454" s="29">
        <v>38</v>
      </c>
      <c r="H454" s="27">
        <v>51</v>
      </c>
      <c r="I454" s="27"/>
      <c r="J454" s="27"/>
      <c r="K454" s="27"/>
      <c r="L454" s="27"/>
      <c r="M454" s="32">
        <f t="shared" si="65"/>
        <v>89</v>
      </c>
      <c r="N454" s="32" t="s">
        <v>1330</v>
      </c>
      <c r="O454" s="32"/>
      <c r="P454" s="32">
        <f t="shared" si="66"/>
        <v>88.955200000000005</v>
      </c>
      <c r="Q454" s="32">
        <f t="shared" si="67"/>
        <v>2</v>
      </c>
      <c r="R454" s="32">
        <f t="shared" ca="1" si="68"/>
        <v>0</v>
      </c>
      <c r="S454" s="33" t="s">
        <v>203</v>
      </c>
      <c r="T454" s="34">
        <f t="shared" si="69"/>
        <v>0</v>
      </c>
      <c r="U454" s="34">
        <f t="shared" ca="1" si="70"/>
        <v>0</v>
      </c>
      <c r="V454" s="34">
        <f>-SUMPRODUCT((S$6:S453=S454)*(X$6:X453=X454))</f>
        <v>0</v>
      </c>
      <c r="W454" s="34">
        <f>-SUMPRODUCT((S$6:S453=S454)*(X$6:X453=X454)*(B$6:B453&lt;&gt;"NS"))</f>
        <v>0</v>
      </c>
      <c r="X454" s="35">
        <f t="shared" si="71"/>
        <v>89.0548</v>
      </c>
      <c r="Y454" s="27">
        <v>51</v>
      </c>
      <c r="Z454" s="29">
        <v>38</v>
      </c>
      <c r="AA454" s="27"/>
      <c r="AB454" s="27"/>
      <c r="AC454" s="27"/>
      <c r="AD454" s="27"/>
      <c r="AF454" s="36">
        <v>0</v>
      </c>
      <c r="AG454" s="36">
        <v>0</v>
      </c>
      <c r="AH454" s="36">
        <v>0</v>
      </c>
      <c r="AI454" s="36">
        <v>0</v>
      </c>
      <c r="AJ454" s="37">
        <v>2</v>
      </c>
      <c r="AK454" s="38">
        <v>89.010900000000007</v>
      </c>
      <c r="AL454" s="39">
        <v>51</v>
      </c>
      <c r="AM454" s="32">
        <v>140</v>
      </c>
      <c r="AN454" s="39"/>
      <c r="AO454" s="39"/>
      <c r="AP454" s="39"/>
      <c r="AQ454" s="30"/>
      <c r="AR454" s="26"/>
      <c r="AS454" s="1"/>
    </row>
    <row r="455" spans="1:45" ht="15">
      <c r="A455" s="61">
        <v>10</v>
      </c>
      <c r="B455" s="61">
        <v>10</v>
      </c>
      <c r="C455" s="61"/>
      <c r="D455" s="61"/>
      <c r="E455" s="61" t="s">
        <v>692</v>
      </c>
      <c r="F455" s="29" t="s">
        <v>38</v>
      </c>
      <c r="G455" s="29">
        <v>37</v>
      </c>
      <c r="H455" s="27">
        <v>46</v>
      </c>
      <c r="I455" s="27"/>
      <c r="J455" s="27"/>
      <c r="K455" s="27"/>
      <c r="L455" s="27"/>
      <c r="M455" s="32">
        <f t="shared" si="65"/>
        <v>83</v>
      </c>
      <c r="N455" s="32" t="s">
        <v>1330</v>
      </c>
      <c r="O455" s="32"/>
      <c r="P455" s="32">
        <f t="shared" si="66"/>
        <v>82.955100000000002</v>
      </c>
      <c r="Q455" s="32">
        <f t="shared" si="67"/>
        <v>2</v>
      </c>
      <c r="R455" s="32">
        <f t="shared" ca="1" si="68"/>
        <v>0</v>
      </c>
      <c r="S455" s="33" t="s">
        <v>203</v>
      </c>
      <c r="T455" s="34">
        <f t="shared" si="69"/>
        <v>0</v>
      </c>
      <c r="U455" s="34">
        <f t="shared" ca="1" si="70"/>
        <v>0</v>
      </c>
      <c r="V455" s="34">
        <f>-SUMPRODUCT((S$6:S454=S455)*(X$6:X454=X455))</f>
        <v>0</v>
      </c>
      <c r="W455" s="34">
        <f>-SUMPRODUCT((S$6:S454=S455)*(X$6:X454=X455)*(B$6:B454&lt;&gt;"NS"))</f>
        <v>0</v>
      </c>
      <c r="X455" s="35">
        <f t="shared" si="71"/>
        <v>83.049700000000001</v>
      </c>
      <c r="Y455" s="27">
        <v>46</v>
      </c>
      <c r="Z455" s="29">
        <v>37</v>
      </c>
      <c r="AA455" s="27"/>
      <c r="AB455" s="27"/>
      <c r="AC455" s="27"/>
      <c r="AD455" s="27"/>
      <c r="AF455" s="36">
        <v>0</v>
      </c>
      <c r="AG455" s="36">
        <v>0</v>
      </c>
      <c r="AH455" s="36">
        <v>0</v>
      </c>
      <c r="AI455" s="36">
        <v>0</v>
      </c>
      <c r="AJ455" s="37">
        <v>2</v>
      </c>
      <c r="AK455" s="38">
        <v>83.005700000000004</v>
      </c>
      <c r="AL455" s="39">
        <v>46</v>
      </c>
      <c r="AM455" s="32">
        <v>129</v>
      </c>
      <c r="AN455" s="39"/>
      <c r="AO455" s="39"/>
      <c r="AP455" s="39"/>
      <c r="AQ455" s="30"/>
      <c r="AR455" s="26"/>
      <c r="AS455" s="1"/>
    </row>
    <row r="456" spans="1:45" ht="15">
      <c r="A456" s="61">
        <v>11</v>
      </c>
      <c r="B456" s="61">
        <v>11</v>
      </c>
      <c r="C456" s="61"/>
      <c r="D456" s="61"/>
      <c r="E456" s="61" t="s">
        <v>693</v>
      </c>
      <c r="F456" s="29" t="s">
        <v>66</v>
      </c>
      <c r="G456" s="29">
        <v>29</v>
      </c>
      <c r="H456" s="27">
        <v>42</v>
      </c>
      <c r="I456" s="27"/>
      <c r="J456" s="27"/>
      <c r="K456" s="27"/>
      <c r="L456" s="27"/>
      <c r="M456" s="32">
        <f t="shared" si="65"/>
        <v>71</v>
      </c>
      <c r="N456" s="32" t="s">
        <v>1330</v>
      </c>
      <c r="O456" s="32"/>
      <c r="P456" s="32">
        <f t="shared" si="66"/>
        <v>70.954999999999998</v>
      </c>
      <c r="Q456" s="32">
        <f t="shared" si="67"/>
        <v>2</v>
      </c>
      <c r="R456" s="32">
        <f t="shared" ca="1" si="68"/>
        <v>0</v>
      </c>
      <c r="S456" s="33" t="s">
        <v>203</v>
      </c>
      <c r="T456" s="34">
        <f t="shared" si="69"/>
        <v>0</v>
      </c>
      <c r="U456" s="34">
        <f t="shared" ca="1" si="70"/>
        <v>0</v>
      </c>
      <c r="V456" s="34">
        <f>-SUMPRODUCT((S$6:S455=S456)*(X$6:X455=X456))</f>
        <v>0</v>
      </c>
      <c r="W456" s="34">
        <f>-SUMPRODUCT((S$6:S455=S456)*(X$6:X455=X456)*(B$6:B455&lt;&gt;"NS"))</f>
        <v>0</v>
      </c>
      <c r="X456" s="35">
        <f t="shared" si="71"/>
        <v>71.044899999999998</v>
      </c>
      <c r="Y456" s="27">
        <v>42</v>
      </c>
      <c r="Z456" s="29">
        <v>29</v>
      </c>
      <c r="AA456" s="27"/>
      <c r="AB456" s="27"/>
      <c r="AC456" s="27"/>
      <c r="AD456" s="27"/>
      <c r="AF456" s="36">
        <v>0</v>
      </c>
      <c r="AG456" s="36">
        <v>0</v>
      </c>
      <c r="AH456" s="36">
        <v>0</v>
      </c>
      <c r="AI456" s="36">
        <v>0</v>
      </c>
      <c r="AJ456" s="37">
        <v>2</v>
      </c>
      <c r="AK456" s="38">
        <v>71.000799999999998</v>
      </c>
      <c r="AL456" s="39">
        <v>42</v>
      </c>
      <c r="AM456" s="32">
        <v>113</v>
      </c>
      <c r="AN456" s="39"/>
      <c r="AO456" s="39"/>
      <c r="AP456" s="39"/>
      <c r="AQ456" s="30"/>
      <c r="AR456" s="26"/>
      <c r="AS456" s="1"/>
    </row>
    <row r="457" spans="1:45" ht="15">
      <c r="A457" s="61">
        <v>12</v>
      </c>
      <c r="B457" s="61">
        <v>12</v>
      </c>
      <c r="C457" s="61"/>
      <c r="D457" s="61"/>
      <c r="E457" s="61" t="s">
        <v>694</v>
      </c>
      <c r="F457" s="29" t="s">
        <v>84</v>
      </c>
      <c r="G457" s="29">
        <v>26</v>
      </c>
      <c r="H457" s="27">
        <v>43</v>
      </c>
      <c r="I457" s="27"/>
      <c r="J457" s="27"/>
      <c r="K457" s="27"/>
      <c r="L457" s="27"/>
      <c r="M457" s="32">
        <f t="shared" si="65"/>
        <v>69</v>
      </c>
      <c r="N457" s="32" t="s">
        <v>1330</v>
      </c>
      <c r="O457" s="32"/>
      <c r="P457" s="32">
        <f t="shared" si="66"/>
        <v>68.954899999999995</v>
      </c>
      <c r="Q457" s="32">
        <f t="shared" si="67"/>
        <v>2</v>
      </c>
      <c r="R457" s="32">
        <f t="shared" ca="1" si="68"/>
        <v>0</v>
      </c>
      <c r="S457" s="33" t="s">
        <v>203</v>
      </c>
      <c r="T457" s="34">
        <f t="shared" si="69"/>
        <v>0</v>
      </c>
      <c r="U457" s="34">
        <f t="shared" ca="1" si="70"/>
        <v>0</v>
      </c>
      <c r="V457" s="34">
        <f>-SUMPRODUCT((S$6:S456=S457)*(X$6:X456=X457))</f>
        <v>0</v>
      </c>
      <c r="W457" s="34">
        <f>-SUMPRODUCT((S$6:S456=S457)*(X$6:X456=X457)*(B$6:B456&lt;&gt;"NS"))</f>
        <v>0</v>
      </c>
      <c r="X457" s="35">
        <f t="shared" si="71"/>
        <v>69.045599999999993</v>
      </c>
      <c r="Y457" s="27">
        <v>43</v>
      </c>
      <c r="Z457" s="29">
        <v>26</v>
      </c>
      <c r="AA457" s="27"/>
      <c r="AB457" s="27"/>
      <c r="AC457" s="27"/>
      <c r="AD457" s="27"/>
      <c r="AF457" s="36">
        <v>0</v>
      </c>
      <c r="AG457" s="36">
        <v>0</v>
      </c>
      <c r="AH457" s="36">
        <v>0</v>
      </c>
      <c r="AI457" s="36">
        <v>0</v>
      </c>
      <c r="AJ457" s="37">
        <v>2</v>
      </c>
      <c r="AK457" s="38">
        <v>69.001400000000004</v>
      </c>
      <c r="AL457" s="39">
        <v>43</v>
      </c>
      <c r="AM457" s="32">
        <v>112</v>
      </c>
      <c r="AN457" s="39"/>
      <c r="AO457" s="39"/>
      <c r="AP457" s="39"/>
      <c r="AQ457" s="30"/>
      <c r="AR457" s="26"/>
      <c r="AS457" s="1"/>
    </row>
    <row r="458" spans="1:45" ht="3" customHeight="1"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42"/>
      <c r="Q458" s="27"/>
      <c r="R458" s="27"/>
      <c r="T458" s="62"/>
      <c r="U458" s="62"/>
      <c r="V458" s="62"/>
      <c r="W458" s="62"/>
      <c r="X458" s="64"/>
      <c r="Y458" s="27"/>
      <c r="Z458" s="27"/>
      <c r="AA458" s="27"/>
      <c r="AB458" s="27"/>
      <c r="AC458" s="27"/>
      <c r="AD458" s="27"/>
      <c r="AJ458" s="63"/>
      <c r="AK458" s="63"/>
      <c r="AL458" s="26"/>
      <c r="AN458" s="39"/>
      <c r="AO458" s="39"/>
      <c r="AP458" s="39"/>
      <c r="AQ458" s="30"/>
    </row>
    <row r="459" spans="1:45"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T459" s="62"/>
      <c r="U459" s="62"/>
      <c r="V459" s="62"/>
      <c r="W459" s="62"/>
      <c r="X459" s="27"/>
      <c r="Y459" s="27"/>
      <c r="Z459" s="27"/>
      <c r="AA459" s="27"/>
      <c r="AB459" s="27"/>
      <c r="AC459" s="27"/>
      <c r="AD459" s="27"/>
      <c r="AL459" s="26"/>
    </row>
    <row r="460" spans="1:45"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T460" s="62"/>
      <c r="U460" s="62"/>
      <c r="V460" s="62"/>
      <c r="W460" s="62"/>
      <c r="X460" s="27"/>
      <c r="Y460" s="27"/>
      <c r="Z460" s="27"/>
      <c r="AA460" s="27"/>
      <c r="AB460" s="27"/>
      <c r="AC460" s="27"/>
      <c r="AD460" s="27"/>
      <c r="AL460" s="26"/>
    </row>
    <row r="461" spans="1:45">
      <c r="G461" s="27"/>
      <c r="H461" s="27"/>
      <c r="I461" s="27"/>
      <c r="J461" s="27"/>
      <c r="K461" s="27"/>
      <c r="T461" s="65"/>
      <c r="U461" s="65"/>
      <c r="V461" s="65"/>
      <c r="W461" s="65"/>
      <c r="AL461" s="26"/>
    </row>
    <row r="462" spans="1:45">
      <c r="G462" s="27"/>
      <c r="H462" s="27"/>
      <c r="I462" s="27"/>
      <c r="J462" s="27"/>
      <c r="K462" s="27"/>
      <c r="T462" s="65"/>
      <c r="U462" s="65"/>
      <c r="V462" s="65"/>
      <c r="W462" s="65"/>
      <c r="AL462" s="26"/>
    </row>
    <row r="463" spans="1:45">
      <c r="G463" s="27"/>
      <c r="H463" s="27"/>
      <c r="I463" s="27"/>
      <c r="J463" s="27"/>
      <c r="K463" s="27"/>
      <c r="T463" s="65"/>
      <c r="U463" s="65"/>
      <c r="V463" s="65"/>
      <c r="W463" s="65"/>
      <c r="AL463" s="26"/>
    </row>
    <row r="464" spans="1:45">
      <c r="G464" s="27"/>
      <c r="H464" s="27"/>
      <c r="I464" s="27"/>
      <c r="K464" s="27"/>
      <c r="T464" s="65"/>
      <c r="U464" s="65"/>
      <c r="V464" s="65"/>
      <c r="W464" s="65"/>
      <c r="AL464" s="26"/>
    </row>
    <row r="465" spans="7:38">
      <c r="G465" s="27"/>
      <c r="H465" s="27"/>
      <c r="I465" s="27"/>
      <c r="J465" s="27"/>
      <c r="K465" s="27"/>
      <c r="T465" s="65"/>
      <c r="U465" s="65"/>
      <c r="V465" s="65"/>
      <c r="W465" s="65"/>
      <c r="AL465" s="26"/>
    </row>
    <row r="466" spans="7:38" ht="15">
      <c r="G466" s="27"/>
      <c r="H466" s="27"/>
      <c r="I466" s="27"/>
      <c r="J466" s="66"/>
      <c r="K466" s="27"/>
      <c r="T466" s="65"/>
      <c r="U466" s="65"/>
      <c r="V466" s="65"/>
      <c r="W466" s="65"/>
      <c r="AL466" s="26"/>
    </row>
    <row r="467" spans="7:38">
      <c r="G467" s="27"/>
      <c r="H467" s="27"/>
      <c r="I467" s="27"/>
      <c r="J467" s="27"/>
      <c r="K467" s="27"/>
      <c r="T467" s="65"/>
      <c r="U467" s="65"/>
      <c r="V467" s="65"/>
      <c r="W467" s="65"/>
      <c r="AL467" s="26"/>
    </row>
    <row r="468" spans="7:38">
      <c r="G468" s="27"/>
      <c r="H468" s="27"/>
      <c r="I468" s="27"/>
      <c r="J468" s="27"/>
      <c r="K468" s="27"/>
      <c r="T468" s="65"/>
      <c r="U468" s="65"/>
      <c r="V468" s="65"/>
      <c r="W468" s="65"/>
      <c r="AL468" s="26"/>
    </row>
    <row r="469" spans="7:38">
      <c r="G469" s="27"/>
      <c r="H469" s="27"/>
      <c r="I469" s="27"/>
      <c r="J469" s="27"/>
      <c r="K469" s="27"/>
      <c r="T469" s="65"/>
      <c r="U469" s="65"/>
      <c r="V469" s="65"/>
      <c r="W469" s="65"/>
      <c r="AL469" s="26"/>
    </row>
    <row r="470" spans="7:38">
      <c r="G470" s="27"/>
      <c r="H470" s="27"/>
      <c r="I470" s="27"/>
      <c r="J470" s="27"/>
      <c r="K470" s="27"/>
      <c r="T470" s="65"/>
      <c r="U470" s="65"/>
      <c r="V470" s="65"/>
      <c r="W470" s="65"/>
      <c r="AL470" s="26"/>
    </row>
    <row r="471" spans="7:38">
      <c r="G471" s="27"/>
      <c r="H471" s="27"/>
      <c r="I471" s="27"/>
      <c r="J471" s="27"/>
      <c r="K471" s="27"/>
      <c r="T471" s="65"/>
      <c r="U471" s="65"/>
      <c r="V471" s="65"/>
      <c r="W471" s="65"/>
      <c r="AL471" s="26"/>
    </row>
    <row r="472" spans="7:38" ht="15">
      <c r="G472" s="27"/>
      <c r="H472" s="27"/>
      <c r="I472" s="66"/>
      <c r="J472" s="27"/>
      <c r="K472" s="27"/>
      <c r="T472" s="65"/>
      <c r="U472" s="65"/>
      <c r="V472" s="65"/>
      <c r="W472" s="65"/>
      <c r="AL472" s="26"/>
    </row>
    <row r="473" spans="7:38">
      <c r="G473" s="27"/>
      <c r="H473" s="27"/>
      <c r="I473" s="27"/>
      <c r="J473" s="27"/>
      <c r="K473" s="27"/>
      <c r="T473" s="65"/>
      <c r="U473" s="65"/>
      <c r="V473" s="65"/>
      <c r="W473" s="65"/>
      <c r="AL473" s="26"/>
    </row>
    <row r="474" spans="7:38">
      <c r="G474" s="27"/>
      <c r="H474" s="27"/>
      <c r="I474" s="27"/>
      <c r="J474" s="27"/>
      <c r="K474" s="27"/>
      <c r="T474" s="65"/>
      <c r="U474" s="65"/>
      <c r="V474" s="65"/>
      <c r="W474" s="65"/>
      <c r="AL474" s="26"/>
    </row>
    <row r="475" spans="7:38">
      <c r="G475" s="27"/>
      <c r="H475" s="27"/>
      <c r="I475" s="27"/>
      <c r="J475" s="27"/>
      <c r="T475" s="65"/>
      <c r="U475" s="65"/>
      <c r="V475" s="65"/>
      <c r="W475" s="65"/>
      <c r="AL475" s="26"/>
    </row>
    <row r="476" spans="7:38" ht="15">
      <c r="G476" s="66"/>
      <c r="H476" s="27"/>
      <c r="I476" s="27"/>
      <c r="J476" s="27"/>
      <c r="K476" s="27"/>
      <c r="T476" s="65"/>
      <c r="U476" s="65"/>
      <c r="V476" s="65"/>
      <c r="W476" s="65"/>
      <c r="AL476" s="26"/>
    </row>
    <row r="477" spans="7:38" ht="15">
      <c r="G477" s="27"/>
      <c r="H477" s="27"/>
      <c r="I477" s="27"/>
      <c r="J477" s="27"/>
      <c r="K477" s="66"/>
      <c r="T477" s="65"/>
      <c r="U477" s="65"/>
      <c r="V477" s="65"/>
      <c r="W477" s="65"/>
      <c r="AL477" s="26"/>
    </row>
    <row r="478" spans="7:38">
      <c r="G478" s="27"/>
      <c r="H478" s="27"/>
      <c r="I478" s="27"/>
      <c r="J478" s="27"/>
      <c r="K478" s="27"/>
      <c r="T478" s="65"/>
      <c r="U478" s="65"/>
      <c r="V478" s="65"/>
      <c r="W478" s="65"/>
      <c r="AL478" s="26"/>
    </row>
    <row r="479" spans="7:38">
      <c r="G479" s="27"/>
      <c r="H479" s="27"/>
      <c r="I479" s="27"/>
      <c r="J479" s="27"/>
      <c r="K479" s="27"/>
      <c r="T479" s="65"/>
      <c r="U479" s="65"/>
      <c r="V479" s="65"/>
      <c r="W479" s="65"/>
      <c r="AL479" s="26"/>
    </row>
    <row r="480" spans="7:38">
      <c r="G480" s="27"/>
      <c r="I480" s="27"/>
      <c r="J480" s="27"/>
      <c r="K480" s="27"/>
      <c r="T480" s="65"/>
      <c r="U480" s="65"/>
      <c r="V480" s="65"/>
      <c r="W480" s="65"/>
      <c r="AL480" s="26"/>
    </row>
    <row r="481" spans="7:38">
      <c r="G481" s="27"/>
      <c r="I481" s="27"/>
      <c r="J481" s="27"/>
      <c r="K481" s="27"/>
      <c r="T481" s="65"/>
      <c r="U481" s="65"/>
      <c r="V481" s="65"/>
      <c r="W481" s="65"/>
      <c r="AL481" s="26"/>
    </row>
    <row r="482" spans="7:38" ht="15">
      <c r="G482" s="27"/>
      <c r="H482" s="66"/>
      <c r="I482" s="27"/>
      <c r="J482" s="27"/>
      <c r="K482" s="27"/>
      <c r="T482" s="65"/>
      <c r="U482" s="65"/>
      <c r="V482" s="65"/>
      <c r="W482" s="65"/>
      <c r="AL482" s="26"/>
    </row>
    <row r="483" spans="7:38">
      <c r="G483" s="27"/>
      <c r="H483" s="27"/>
      <c r="I483" s="27"/>
      <c r="J483" s="27"/>
      <c r="K483" s="27"/>
      <c r="T483" s="65"/>
      <c r="U483" s="65"/>
      <c r="V483" s="65"/>
      <c r="W483" s="65"/>
      <c r="AL483" s="26"/>
    </row>
    <row r="484" spans="7:38">
      <c r="G484" s="27"/>
      <c r="H484" s="27"/>
      <c r="I484" s="27"/>
      <c r="J484" s="27"/>
      <c r="K484" s="27"/>
      <c r="T484" s="65"/>
      <c r="U484" s="65"/>
      <c r="V484" s="65"/>
      <c r="W484" s="65"/>
      <c r="AL484" s="26"/>
    </row>
    <row r="485" spans="7:38">
      <c r="G485" s="27"/>
      <c r="H485" s="27"/>
      <c r="I485" s="27"/>
      <c r="J485" s="27"/>
      <c r="K485" s="27"/>
      <c r="AL485" s="26"/>
    </row>
    <row r="486" spans="7:38">
      <c r="G486" s="27"/>
      <c r="H486" s="27"/>
      <c r="I486" s="27"/>
      <c r="J486" s="27"/>
      <c r="K486" s="27"/>
      <c r="AL486" s="26"/>
    </row>
    <row r="487" spans="7:38">
      <c r="G487" s="27"/>
      <c r="H487" s="27"/>
      <c r="I487" s="27"/>
      <c r="J487" s="27"/>
      <c r="K487" s="27"/>
      <c r="AL487" s="26"/>
    </row>
    <row r="488" spans="7:38">
      <c r="G488" s="27"/>
      <c r="H488" s="27"/>
      <c r="I488" s="27"/>
      <c r="K488" s="27"/>
      <c r="AL488" s="26"/>
    </row>
    <row r="489" spans="7:38">
      <c r="G489" s="27"/>
      <c r="H489" s="27"/>
      <c r="I489" s="27"/>
      <c r="J489" s="27"/>
      <c r="K489" s="27"/>
      <c r="AL489" s="26"/>
    </row>
    <row r="490" spans="7:38" ht="15">
      <c r="G490" s="27"/>
      <c r="H490" s="27"/>
      <c r="I490" s="27"/>
      <c r="J490" s="66"/>
      <c r="K490" s="27"/>
      <c r="AL490" s="26"/>
    </row>
    <row r="491" spans="7:38">
      <c r="G491" s="27"/>
      <c r="H491" s="27"/>
      <c r="I491" s="27"/>
      <c r="J491" s="27"/>
      <c r="K491" s="27"/>
      <c r="AL491" s="26"/>
    </row>
    <row r="492" spans="7:38">
      <c r="G492" s="27"/>
      <c r="H492" s="27"/>
      <c r="I492" s="27"/>
      <c r="J492" s="27"/>
      <c r="K492" s="27"/>
      <c r="AL492" s="26"/>
    </row>
    <row r="493" spans="7:38">
      <c r="G493" s="27"/>
      <c r="H493" s="27"/>
      <c r="I493" s="27"/>
      <c r="J493" s="27"/>
      <c r="K493" s="27"/>
      <c r="AL493" s="26"/>
    </row>
    <row r="494" spans="7:38">
      <c r="G494" s="27"/>
      <c r="H494" s="27"/>
      <c r="I494" s="27"/>
      <c r="J494" s="27"/>
      <c r="K494" s="27"/>
      <c r="AL494" s="26"/>
    </row>
    <row r="495" spans="7:38">
      <c r="G495" s="27"/>
      <c r="H495" s="27"/>
      <c r="I495" s="27"/>
      <c r="J495" s="27"/>
      <c r="K495" s="27"/>
      <c r="AL495" s="26"/>
    </row>
    <row r="496" spans="7:38">
      <c r="G496" s="27"/>
      <c r="H496" s="27"/>
      <c r="I496" s="27"/>
      <c r="J496" s="27"/>
      <c r="K496" s="27"/>
      <c r="AL496" s="26"/>
    </row>
    <row r="497" spans="7:38">
      <c r="G497" s="27"/>
      <c r="H497" s="27"/>
      <c r="I497" s="27"/>
      <c r="J497" s="27"/>
      <c r="K497" s="27"/>
      <c r="AL497" s="26"/>
    </row>
    <row r="498" spans="7:38">
      <c r="G498" s="27"/>
      <c r="H498" s="27"/>
      <c r="I498" s="27"/>
      <c r="J498" s="27"/>
      <c r="K498" s="27"/>
      <c r="AL498" s="26"/>
    </row>
    <row r="499" spans="7:38" ht="15">
      <c r="G499" s="27"/>
      <c r="I499" s="27"/>
      <c r="J499" s="27"/>
      <c r="K499" s="66"/>
      <c r="AL499" s="26"/>
    </row>
    <row r="500" spans="7:38">
      <c r="G500" s="27"/>
      <c r="H500" s="27"/>
      <c r="I500" s="27"/>
      <c r="J500" s="27"/>
      <c r="K500" s="27"/>
      <c r="AL500" s="26"/>
    </row>
    <row r="501" spans="7:38" ht="15">
      <c r="G501" s="27"/>
      <c r="H501" s="66"/>
      <c r="I501" s="27"/>
      <c r="J501" s="27"/>
      <c r="K501" s="27"/>
      <c r="AL501" s="26"/>
    </row>
    <row r="502" spans="7:38" ht="15">
      <c r="G502" s="66"/>
      <c r="H502" s="27"/>
      <c r="I502" s="66"/>
      <c r="J502" s="27"/>
      <c r="K502" s="27"/>
      <c r="AL502" s="26"/>
    </row>
    <row r="503" spans="7:38">
      <c r="G503" s="27"/>
      <c r="H503" s="27"/>
      <c r="I503" s="27"/>
      <c r="J503" s="27"/>
      <c r="K503" s="27"/>
      <c r="AL503" s="26"/>
    </row>
    <row r="504" spans="7:38">
      <c r="G504" s="27"/>
      <c r="H504" s="27"/>
      <c r="I504" s="27"/>
      <c r="J504" s="27"/>
      <c r="K504" s="27"/>
      <c r="AL504" s="26"/>
    </row>
    <row r="505" spans="7:38">
      <c r="G505" s="27"/>
      <c r="H505" s="27"/>
      <c r="I505" s="27"/>
      <c r="J505" s="27"/>
      <c r="K505" s="27"/>
      <c r="AL505" s="26"/>
    </row>
    <row r="506" spans="7:38">
      <c r="G506" s="27"/>
      <c r="H506" s="27"/>
      <c r="I506" s="27"/>
      <c r="J506" s="27"/>
      <c r="K506" s="27"/>
      <c r="AL506" s="26"/>
    </row>
    <row r="507" spans="7:38">
      <c r="G507" s="27"/>
      <c r="H507" s="27"/>
      <c r="I507" s="27"/>
      <c r="J507" s="27"/>
      <c r="K507" s="27"/>
      <c r="AL507" s="26"/>
    </row>
    <row r="508" spans="7:38">
      <c r="G508" s="27"/>
      <c r="H508" s="27"/>
      <c r="I508" s="27"/>
      <c r="J508" s="27"/>
      <c r="K508" s="27"/>
      <c r="AL508" s="26"/>
    </row>
    <row r="509" spans="7:38" ht="15">
      <c r="G509" s="27"/>
      <c r="H509" s="27"/>
      <c r="I509" s="27"/>
      <c r="J509" s="66"/>
      <c r="K509" s="27"/>
      <c r="AL509" s="26"/>
    </row>
    <row r="510" spans="7:38">
      <c r="G510" s="27"/>
      <c r="H510" s="27"/>
      <c r="I510" s="27"/>
      <c r="J510" s="27"/>
      <c r="K510" s="27"/>
      <c r="AL510" s="26"/>
    </row>
    <row r="511" spans="7:38">
      <c r="G511" s="27"/>
      <c r="H511" s="27"/>
      <c r="I511" s="27"/>
      <c r="J511" s="27"/>
      <c r="K511" s="27"/>
      <c r="AL511" s="26"/>
    </row>
    <row r="512" spans="7:38">
      <c r="G512" s="27"/>
      <c r="H512" s="27"/>
      <c r="I512" s="27"/>
      <c r="J512" s="27"/>
      <c r="K512" s="27"/>
      <c r="AL512" s="26"/>
    </row>
    <row r="513" spans="7:38">
      <c r="G513" s="27"/>
      <c r="H513" s="27"/>
      <c r="I513" s="27"/>
      <c r="J513" s="27"/>
      <c r="K513" s="27"/>
      <c r="AL513" s="26"/>
    </row>
    <row r="514" spans="7:38">
      <c r="G514" s="27"/>
      <c r="H514" s="27"/>
      <c r="I514" s="27"/>
      <c r="J514" s="27"/>
      <c r="K514" s="27"/>
      <c r="AL514" s="26"/>
    </row>
    <row r="515" spans="7:38">
      <c r="G515" s="27"/>
      <c r="H515" s="27"/>
      <c r="I515" s="27"/>
      <c r="J515" s="27"/>
      <c r="K515" s="27"/>
      <c r="AL515" s="26"/>
    </row>
    <row r="516" spans="7:38">
      <c r="G516" s="27"/>
      <c r="H516" s="27"/>
      <c r="I516" s="27"/>
      <c r="J516" s="27"/>
      <c r="K516" s="27"/>
      <c r="AL516" s="26"/>
    </row>
    <row r="517" spans="7:38">
      <c r="G517" s="27"/>
      <c r="H517" s="27"/>
      <c r="I517" s="27"/>
      <c r="J517" s="27"/>
      <c r="K517" s="27"/>
      <c r="AL517" s="26"/>
    </row>
    <row r="518" spans="7:38">
      <c r="G518" s="27"/>
      <c r="H518" s="27"/>
      <c r="I518" s="27"/>
      <c r="J518" s="27"/>
      <c r="K518" s="27"/>
      <c r="AL518" s="26"/>
    </row>
    <row r="519" spans="7:38">
      <c r="G519" s="27"/>
      <c r="H519" s="27"/>
      <c r="I519" s="27"/>
      <c r="J519" s="27"/>
      <c r="K519" s="27"/>
      <c r="AL519" s="26"/>
    </row>
    <row r="520" spans="7:38">
      <c r="G520" s="27"/>
      <c r="H520" s="27"/>
      <c r="I520" s="27"/>
      <c r="J520" s="27"/>
      <c r="K520" s="27"/>
      <c r="AL520" s="26"/>
    </row>
    <row r="521" spans="7:38" ht="15">
      <c r="G521" s="27"/>
      <c r="H521" s="66"/>
      <c r="I521" s="27"/>
      <c r="J521" s="27"/>
      <c r="K521" s="27"/>
      <c r="AL521" s="26"/>
    </row>
    <row r="522" spans="7:38" ht="15">
      <c r="G522" s="66"/>
      <c r="H522" s="27"/>
      <c r="I522" s="27"/>
      <c r="J522" s="27"/>
      <c r="K522" s="27"/>
      <c r="AL522" s="26"/>
    </row>
    <row r="523" spans="7:38">
      <c r="G523" s="27"/>
      <c r="H523" s="27"/>
      <c r="I523" s="27"/>
      <c r="J523" s="27"/>
      <c r="AL523" s="26"/>
    </row>
    <row r="524" spans="7:38">
      <c r="G524" s="27"/>
      <c r="H524" s="27"/>
      <c r="I524" s="27"/>
      <c r="J524" s="27"/>
      <c r="K524" s="27"/>
      <c r="AL524" s="26"/>
    </row>
    <row r="525" spans="7:38" ht="15">
      <c r="G525" s="27"/>
      <c r="H525" s="27"/>
      <c r="I525" s="27"/>
      <c r="J525" s="27"/>
      <c r="K525" s="66"/>
    </row>
    <row r="526" spans="7:38" ht="15">
      <c r="G526" s="27"/>
      <c r="H526" s="27"/>
      <c r="I526" s="66"/>
      <c r="J526" s="27"/>
      <c r="K526" s="27"/>
    </row>
    <row r="527" spans="7:38">
      <c r="G527" s="27"/>
      <c r="H527" s="27"/>
      <c r="I527" s="27"/>
      <c r="J527" s="27"/>
      <c r="K527" s="27"/>
    </row>
    <row r="528" spans="7:38">
      <c r="G528" s="27"/>
      <c r="H528" s="27"/>
      <c r="I528" s="27"/>
      <c r="J528" s="27"/>
      <c r="K528" s="27"/>
    </row>
    <row r="529" spans="7:11">
      <c r="G529" s="27"/>
      <c r="H529" s="27"/>
      <c r="I529" s="27"/>
      <c r="J529" s="27"/>
      <c r="K529" s="27"/>
    </row>
    <row r="530" spans="7:11">
      <c r="G530" s="27"/>
      <c r="H530" s="27"/>
      <c r="I530" s="27"/>
      <c r="J530" s="27"/>
      <c r="K530" s="27"/>
    </row>
    <row r="531" spans="7:11">
      <c r="G531" s="27"/>
      <c r="H531" s="27"/>
      <c r="I531" s="27"/>
      <c r="K531" s="27"/>
    </row>
    <row r="532" spans="7:11">
      <c r="G532" s="27"/>
      <c r="H532" s="27"/>
      <c r="I532" s="27"/>
      <c r="J532" s="27"/>
      <c r="K532" s="27"/>
    </row>
    <row r="533" spans="7:11" ht="15">
      <c r="G533" s="27"/>
      <c r="H533" s="27"/>
      <c r="I533" s="27"/>
      <c r="J533" s="66"/>
      <c r="K533" s="27"/>
    </row>
    <row r="534" spans="7:11">
      <c r="G534" s="27"/>
      <c r="H534" s="27"/>
      <c r="I534" s="27"/>
      <c r="J534" s="27"/>
      <c r="K534" s="27"/>
    </row>
    <row r="535" spans="7:11">
      <c r="G535" s="27"/>
      <c r="H535" s="27"/>
      <c r="I535" s="27"/>
      <c r="J535" s="27"/>
      <c r="K535" s="27"/>
    </row>
    <row r="536" spans="7:11">
      <c r="G536" s="27"/>
      <c r="H536" s="27"/>
      <c r="I536" s="27"/>
      <c r="J536" s="27"/>
      <c r="K536" s="27"/>
    </row>
    <row r="537" spans="7:11" ht="15">
      <c r="G537" s="66"/>
      <c r="H537" s="27"/>
      <c r="I537" s="66"/>
      <c r="J537" s="27"/>
      <c r="K537" s="27"/>
    </row>
    <row r="538" spans="7:11">
      <c r="G538" s="27"/>
      <c r="H538" s="27"/>
      <c r="I538" s="27"/>
      <c r="J538" s="27"/>
      <c r="K538" s="27"/>
    </row>
    <row r="539" spans="7:11">
      <c r="G539" s="27"/>
      <c r="I539" s="27"/>
      <c r="J539" s="27"/>
      <c r="K539" s="27"/>
    </row>
    <row r="540" spans="7:11">
      <c r="G540" s="27"/>
      <c r="H540" s="27"/>
      <c r="I540" s="27"/>
      <c r="J540" s="27"/>
      <c r="K540" s="27"/>
    </row>
    <row r="541" spans="7:11" ht="15">
      <c r="G541" s="27"/>
      <c r="H541" s="66"/>
      <c r="I541" s="27"/>
      <c r="J541" s="27"/>
      <c r="K541" s="27"/>
    </row>
    <row r="542" spans="7:11" ht="15">
      <c r="G542" s="27"/>
      <c r="H542" s="27"/>
      <c r="I542" s="27"/>
      <c r="J542" s="27"/>
      <c r="K542" s="66"/>
    </row>
    <row r="543" spans="7:11">
      <c r="G543" s="27"/>
      <c r="H543" s="27"/>
      <c r="I543" s="27"/>
      <c r="J543" s="27"/>
      <c r="K543" s="27"/>
    </row>
    <row r="544" spans="7:11">
      <c r="G544" s="27"/>
      <c r="H544" s="27"/>
      <c r="I544" s="27"/>
      <c r="J544" s="27"/>
      <c r="K544" s="27"/>
    </row>
    <row r="545" spans="7:11" ht="15">
      <c r="G545" s="27"/>
      <c r="H545" s="27"/>
      <c r="I545" s="27"/>
      <c r="J545" s="66"/>
      <c r="K545" s="27"/>
    </row>
    <row r="546" spans="7:11">
      <c r="G546" s="27"/>
      <c r="H546" s="27"/>
      <c r="I546" s="27"/>
      <c r="J546" s="27"/>
      <c r="K546" s="27"/>
    </row>
    <row r="547" spans="7:11">
      <c r="G547" s="27"/>
      <c r="H547" s="27"/>
      <c r="I547" s="27"/>
      <c r="J547" s="27"/>
      <c r="K547" s="27"/>
    </row>
    <row r="548" spans="7:11">
      <c r="G548" s="27"/>
      <c r="H548" s="27"/>
      <c r="I548" s="27"/>
      <c r="J548" s="27"/>
      <c r="K548" s="27"/>
    </row>
    <row r="549" spans="7:11">
      <c r="G549" s="27"/>
      <c r="H549" s="27"/>
      <c r="I549" s="27"/>
      <c r="J549" s="27"/>
      <c r="K549" s="27"/>
    </row>
    <row r="550" spans="7:11" ht="15">
      <c r="G550" s="27"/>
      <c r="H550" s="27"/>
      <c r="I550" s="66"/>
      <c r="J550" s="27"/>
      <c r="K550" s="27"/>
    </row>
    <row r="551" spans="7:11">
      <c r="G551" s="27"/>
      <c r="H551" s="27"/>
      <c r="I551" s="27"/>
      <c r="J551" s="27"/>
      <c r="K551" s="27"/>
    </row>
    <row r="552" spans="7:11" ht="15">
      <c r="G552" s="66"/>
      <c r="H552" s="66"/>
      <c r="I552" s="27"/>
      <c r="J552" s="27"/>
      <c r="K552" s="27"/>
    </row>
    <row r="553" spans="7:11">
      <c r="G553" s="27"/>
      <c r="H553" s="27"/>
      <c r="I553" s="27"/>
      <c r="J553" s="27"/>
      <c r="K553" s="27"/>
    </row>
    <row r="554" spans="7:11">
      <c r="G554" s="27"/>
      <c r="H554" s="27"/>
      <c r="I554" s="27"/>
      <c r="J554" s="27"/>
    </row>
    <row r="555" spans="7:11">
      <c r="G555" s="27"/>
      <c r="H555" s="27"/>
      <c r="I555" s="27"/>
      <c r="J555" s="27"/>
    </row>
    <row r="556" spans="7:11" ht="15">
      <c r="G556" s="27"/>
      <c r="H556" s="27"/>
      <c r="J556" s="27"/>
      <c r="K556" s="66"/>
    </row>
    <row r="557" spans="7:11">
      <c r="H557" s="27"/>
      <c r="J557" s="27"/>
      <c r="K557" s="27"/>
    </row>
    <row r="558" spans="7:11" ht="15">
      <c r="H558" s="27"/>
      <c r="I558" s="66"/>
      <c r="K558" s="27"/>
    </row>
    <row r="559" spans="7:11" ht="15">
      <c r="G559" s="66"/>
      <c r="I559" s="27"/>
      <c r="K559" s="27"/>
    </row>
    <row r="560" spans="7:11" ht="15">
      <c r="G560" s="27"/>
      <c r="I560" s="27"/>
      <c r="J560" s="66"/>
      <c r="K560" s="27"/>
    </row>
    <row r="561" spans="7:11" ht="15">
      <c r="G561" s="27"/>
      <c r="H561" s="66"/>
      <c r="I561" s="27"/>
      <c r="J561" s="27"/>
      <c r="K561" s="27"/>
    </row>
    <row r="562" spans="7:11">
      <c r="G562" s="27"/>
      <c r="H562" s="27"/>
      <c r="I562" s="27"/>
      <c r="J562" s="27"/>
      <c r="K562" s="27"/>
    </row>
    <row r="563" spans="7:11">
      <c r="H563" s="27"/>
      <c r="J563" s="27"/>
      <c r="K563" s="27"/>
    </row>
    <row r="564" spans="7:11">
      <c r="H564" s="27"/>
      <c r="J564" s="27"/>
    </row>
    <row r="566" spans="7:11" ht="15">
      <c r="K566" s="66"/>
    </row>
    <row r="567" spans="7:11" ht="15">
      <c r="H567" s="66"/>
      <c r="J567" s="66"/>
      <c r="K567" s="27"/>
    </row>
    <row r="568" spans="7:11">
      <c r="H568" s="27"/>
      <c r="J568" s="27"/>
      <c r="K568" s="27"/>
    </row>
    <row r="569" spans="7:11">
      <c r="H569" s="27"/>
      <c r="J569" s="27"/>
      <c r="K569" s="27"/>
    </row>
    <row r="570" spans="7:11">
      <c r="H570" s="27"/>
      <c r="J570" s="27"/>
      <c r="K570" s="27"/>
    </row>
    <row r="571" spans="7:11">
      <c r="J571" s="27"/>
    </row>
  </sheetData>
  <conditionalFormatting sqref="AE6:AE8">
    <cfRule type="expression" dxfId="46" priority="2">
      <formula>IF(AE$5=0,TRUE)</formula>
    </cfRule>
  </conditionalFormatting>
  <conditionalFormatting sqref="Y6:AD7 Y60:AD62 Y105:AD107 Y166:AD168 Y215:AD217 Y294:AD296 Y361:AD363 Y409:AD411 Y443:AD445 Y458:AD458">
    <cfRule type="expression" dxfId="45" priority="1">
      <formula>IF(Y$4=0,TRUE)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106" max="11" man="1"/>
    <brk id="167" max="11" man="1"/>
    <brk id="216" max="11" man="1"/>
    <brk id="295" max="11" man="1"/>
    <brk id="362" max="11" man="1"/>
    <brk id="410" max="11" man="1"/>
    <brk id="44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S541"/>
  <sheetViews>
    <sheetView topLeftCell="A259" workbookViewId="0">
      <selection activeCell="R3" sqref="R3"/>
    </sheetView>
  </sheetViews>
  <sheetFormatPr defaultRowHeight="12.75" outlineLevelRow="1" outlineLevelCol="1"/>
  <cols>
    <col min="1" max="4" width="7.140625" style="2" customWidth="1"/>
    <col min="5" max="5" width="23.42578125" style="2" customWidth="1"/>
    <col min="6" max="6" width="7" style="2" customWidth="1"/>
    <col min="7" max="12" width="7.140625" style="2" customWidth="1"/>
    <col min="13" max="13" width="8.7109375" style="2" customWidth="1"/>
    <col min="14" max="14" width="8.85546875" style="2" customWidth="1"/>
    <col min="15" max="15" width="7.140625" style="2" customWidth="1"/>
    <col min="16" max="16" width="10" style="2" hidden="1" customWidth="1" outlineLevel="1"/>
    <col min="17" max="17" width="9.140625" style="2" collapsed="1"/>
    <col min="18" max="23" width="9.140625" style="2" customWidth="1"/>
    <col min="24" max="24" width="13.140625" style="2" customWidth="1"/>
    <col min="25" max="26" width="9.140625" style="2" customWidth="1"/>
    <col min="27" max="36" width="9.140625" style="2"/>
    <col min="37" max="37" width="9.140625" style="2" customWidth="1"/>
    <col min="38" max="38" width="9.140625" style="2"/>
    <col min="39" max="39" width="10.7109375" style="2" customWidth="1"/>
    <col min="40" max="42" width="9.140625" style="2"/>
    <col min="43" max="43" width="1.7109375" style="2" customWidth="1"/>
    <col min="44" max="16384" width="9.140625" style="2"/>
  </cols>
  <sheetData>
    <row r="1" spans="1:45" hidden="1" outlineLevel="1">
      <c r="S1" s="27"/>
      <c r="T1" s="27"/>
      <c r="U1" s="27"/>
      <c r="V1" s="27"/>
      <c r="W1" s="27"/>
      <c r="X1" s="28" t="s">
        <v>353</v>
      </c>
      <c r="Y1" s="27" t="str">
        <f t="shared" ref="Y1:AD1" si="0">IF(OR(Y$6&gt;$F$5,Y$6&gt;COUNT($G1:$L1)),"",LARGE($G1:$L1,Y$6))</f>
        <v/>
      </c>
      <c r="Z1" s="27" t="str">
        <f t="shared" si="0"/>
        <v/>
      </c>
      <c r="AA1" s="27" t="str">
        <f t="shared" si="0"/>
        <v/>
      </c>
      <c r="AB1" s="27" t="str">
        <f t="shared" si="0"/>
        <v/>
      </c>
      <c r="AC1" s="27" t="str">
        <f t="shared" si="0"/>
        <v/>
      </c>
      <c r="AD1" s="27" t="str">
        <f t="shared" si="0"/>
        <v/>
      </c>
      <c r="AE1" s="1"/>
      <c r="AF1" s="1"/>
      <c r="AG1" s="1"/>
      <c r="AH1" s="1"/>
      <c r="AI1" s="1"/>
      <c r="AJ1" s="1"/>
      <c r="AK1" s="1"/>
      <c r="AQ1" s="30"/>
    </row>
    <row r="2" spans="1:45" hidden="1" outlineLevel="1">
      <c r="A2" s="2" t="s">
        <v>355</v>
      </c>
      <c r="L2" s="31" t="s">
        <v>695</v>
      </c>
      <c r="M2" s="32">
        <f>IFERROR(LARGE(G2:L2,1),0)+IF($F$5&gt;=2,IFERROR(LARGE(G2:L2,2),0),0)+IF($F$5&gt;=3,IFERROR(LARGE(G2:L2,3),0),0)+IF($F$5&gt;=4,IFERROR(LARGE(G2:L2,4),0),0)+IF($F$5&gt;=5,IFERROR(LARGE(G2:L2,5),0),0)+IF($F$5&gt;=6,IFERROR(LARGE(G2:L2,6),0),0)</f>
        <v>0</v>
      </c>
      <c r="N2" s="32" t="s">
        <v>1329</v>
      </c>
      <c r="O2" s="32"/>
      <c r="P2" s="42">
        <f>M2-(ROW(M2)-ROW(M$6))/10000</f>
        <v>4.0000000000000002E-4</v>
      </c>
      <c r="Q2" s="32">
        <f>COUNT(G2:L2)</f>
        <v>0</v>
      </c>
      <c r="R2" s="32">
        <f ca="1">IF(AND(Q2=1,OFFSET(F2,0,R$3)&gt;0),"Y",0)</f>
        <v>0</v>
      </c>
      <c r="S2" s="33">
        <v>0</v>
      </c>
      <c r="T2" s="34">
        <f>1-(S2=S1)</f>
        <v>0</v>
      </c>
      <c r="U2" s="34">
        <f ca="1">OFFSET(F2,0,$R$3)</f>
        <v>0</v>
      </c>
      <c r="V2" s="34">
        <f>-SUMPRODUCT((S1:S$6=S2)*(X1:X$6=X2))</f>
        <v>-1</v>
      </c>
      <c r="W2" s="34">
        <f>-SUMPRODUCT((S1:S$6=S2)*(X1:X$6=X2)*(B1:B$6&lt;&gt;"NS"))</f>
        <v>-1</v>
      </c>
      <c r="X2" s="35">
        <f>M2+SUMPRODUCT(Y$4:AD$4,Y2:AD2)</f>
        <v>0</v>
      </c>
      <c r="Y2" s="27"/>
      <c r="Z2" s="27"/>
      <c r="AA2" s="27"/>
      <c r="AB2" s="27"/>
      <c r="AC2" s="27"/>
      <c r="AD2" s="27"/>
      <c r="AE2" s="31" t="s">
        <v>696</v>
      </c>
      <c r="AF2" s="36" t="e">
        <v>#N/A</v>
      </c>
      <c r="AG2" s="36" t="e">
        <f>IF($AF2="Query O/S",AN2,0)</f>
        <v>#N/A</v>
      </c>
      <c r="AH2" s="36" t="e">
        <f>IF($AF2="Query O/S",AO2,0)</f>
        <v>#N/A</v>
      </c>
      <c r="AI2" s="36" t="e">
        <f>IF($AF2="Query O/S",AP2,0)</f>
        <v>#N/A</v>
      </c>
      <c r="AJ2" s="37"/>
      <c r="AK2" s="67"/>
      <c r="AL2" s="39">
        <f>MAX(G2:L2)</f>
        <v>0</v>
      </c>
      <c r="AM2" s="32">
        <f>(IFERROR(LARGE(G2:L2,1),0)+IF($AM$3&gt;=2,IFERROR(LARGE(G2:L2,2),0),0)+IF($AM$3&gt;=3,IFERROR(LARGE(G2:L2,3),0),0)+IF($AM$3&gt;=4,IFERROR(LARGE(G2:L2,4),0),0)+IF($AM$3&gt;=5,IFERROR(LARGE(G2:L2,5),0),0)+IF($AM$3&gt;=6,IFERROR(LARGE(G2:L2,6),0),0)+AL2)*(N2="Y")</f>
        <v>0</v>
      </c>
      <c r="AQ2" s="30"/>
    </row>
    <row r="3" spans="1:45" hidden="1" outlineLevel="1">
      <c r="C3" s="40">
        <f>IF(OR(V3&lt;0,V4&lt;0),"="&amp;A3+V3&amp;" ",A3)</f>
        <v>0</v>
      </c>
      <c r="D3" s="40">
        <f>IF(OR(W3&lt;0,W4&lt;0),"="&amp;B3+W3&amp;" ",B3)</f>
        <v>0</v>
      </c>
      <c r="E3" s="41" t="s">
        <v>697</v>
      </c>
      <c r="F3" s="31"/>
      <c r="G3" s="31"/>
      <c r="H3" s="31"/>
      <c r="I3" s="31"/>
      <c r="J3" s="31"/>
      <c r="K3" s="31"/>
      <c r="L3" s="31"/>
      <c r="M3" s="27"/>
      <c r="N3" s="27"/>
      <c r="O3" s="27"/>
      <c r="P3" s="42"/>
      <c r="Q3" s="27" t="s">
        <v>360</v>
      </c>
      <c r="R3" s="43">
        <v>5</v>
      </c>
      <c r="S3" s="41" t="s">
        <v>698</v>
      </c>
      <c r="T3" s="44" t="s">
        <v>362</v>
      </c>
      <c r="X3" s="1" t="s">
        <v>363</v>
      </c>
      <c r="Y3" s="29">
        <f>IF(Y6&gt;$F$5,0,1)</f>
        <v>1</v>
      </c>
      <c r="Z3" s="29">
        <f t="shared" ref="Z3:AD3" si="1">IF(Z6&gt;$F$5,0,1)</f>
        <v>1</v>
      </c>
      <c r="AA3" s="29">
        <f t="shared" si="1"/>
        <v>1</v>
      </c>
      <c r="AB3" s="29">
        <f t="shared" si="1"/>
        <v>0</v>
      </c>
      <c r="AC3" s="29">
        <f t="shared" si="1"/>
        <v>0</v>
      </c>
      <c r="AD3" s="29">
        <f t="shared" si="1"/>
        <v>0</v>
      </c>
      <c r="AE3" s="27"/>
      <c r="AF3" s="27"/>
      <c r="AG3" s="27"/>
      <c r="AH3" s="27"/>
      <c r="AI3" s="27"/>
      <c r="AJ3" s="27"/>
      <c r="AK3" s="27"/>
      <c r="AL3" s="1" t="s">
        <v>364</v>
      </c>
      <c r="AM3" s="3">
        <f>$F$5-1</f>
        <v>2</v>
      </c>
      <c r="AN3" s="1" t="s">
        <v>365</v>
      </c>
      <c r="AQ3" s="30"/>
    </row>
    <row r="4" spans="1:45" s="15" customFormat="1" ht="38.25" customHeight="1" collapsed="1" thickBot="1">
      <c r="A4" s="15" t="s">
        <v>1319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46">
        <f>SUM(T6:T317)</f>
        <v>0</v>
      </c>
      <c r="U4" s="1"/>
      <c r="V4" s="1"/>
      <c r="W4" s="1"/>
      <c r="X4" s="1" t="s">
        <v>366</v>
      </c>
      <c r="Y4" s="29">
        <f>Y3*1/1000</f>
        <v>1E-3</v>
      </c>
      <c r="Z4" s="29">
        <f>Z3*1/10000</f>
        <v>1E-4</v>
      </c>
      <c r="AA4" s="29">
        <f>AA3*1/100000</f>
        <v>1.0000000000000001E-5</v>
      </c>
      <c r="AB4" s="29">
        <f>AB3*1/1000000</f>
        <v>0</v>
      </c>
      <c r="AC4" s="29">
        <f>AC3*1/10000000</f>
        <v>0</v>
      </c>
      <c r="AD4" s="29">
        <f>AD3*1/100000000</f>
        <v>0</v>
      </c>
      <c r="AE4" s="27"/>
      <c r="AF4" s="27"/>
      <c r="AG4" s="27"/>
      <c r="AH4" s="27"/>
      <c r="AI4" s="27"/>
      <c r="AJ4" s="27"/>
      <c r="AK4" s="27"/>
      <c r="AL4" s="27"/>
      <c r="AM4" s="41" t="s">
        <v>699</v>
      </c>
      <c r="AN4" s="27"/>
      <c r="AO4" s="27"/>
      <c r="AP4" s="27"/>
      <c r="AQ4" s="47" t="s">
        <v>700</v>
      </c>
      <c r="AR4" s="27"/>
      <c r="AS4" s="27"/>
    </row>
    <row r="5" spans="1:45">
      <c r="A5" s="26"/>
      <c r="B5" s="26"/>
      <c r="C5" s="26"/>
      <c r="D5" s="26" t="s">
        <v>369</v>
      </c>
      <c r="E5" s="26"/>
      <c r="F5" s="48">
        <v>3</v>
      </c>
      <c r="M5" s="49" t="str">
        <f>"Total is best " &amp;F5&amp;" races"</f>
        <v>Total is best 3 races</v>
      </c>
      <c r="S5" s="26" t="s">
        <v>370</v>
      </c>
      <c r="T5" s="26"/>
      <c r="U5" s="26"/>
      <c r="V5" s="1"/>
      <c r="W5" s="1"/>
      <c r="X5" s="26"/>
      <c r="Y5" s="26" t="s">
        <v>371</v>
      </c>
      <c r="Z5" s="26"/>
      <c r="AA5" s="26"/>
      <c r="AB5" s="26"/>
      <c r="AC5" s="26"/>
      <c r="AD5" s="26"/>
      <c r="AG5" s="2" t="s">
        <v>372</v>
      </c>
      <c r="AJ5" s="26" t="s">
        <v>373</v>
      </c>
      <c r="AM5" s="26"/>
      <c r="AN5" s="41" t="s">
        <v>701</v>
      </c>
      <c r="AO5" s="26"/>
      <c r="AP5" s="26"/>
      <c r="AQ5" s="30"/>
    </row>
    <row r="6" spans="1:45" s="26" customFormat="1" ht="38.25">
      <c r="A6" s="52" t="s">
        <v>375</v>
      </c>
      <c r="B6" s="51" t="s">
        <v>376</v>
      </c>
      <c r="C6" s="52" t="s">
        <v>375</v>
      </c>
      <c r="D6" s="51" t="s">
        <v>376</v>
      </c>
      <c r="E6" s="26" t="s">
        <v>377</v>
      </c>
      <c r="F6" s="52" t="s">
        <v>378</v>
      </c>
      <c r="G6" s="52" t="s">
        <v>379</v>
      </c>
      <c r="H6" s="52" t="s">
        <v>380</v>
      </c>
      <c r="I6" s="52" t="s">
        <v>381</v>
      </c>
      <c r="J6" s="52" t="s">
        <v>382</v>
      </c>
      <c r="K6" s="52" t="s">
        <v>383</v>
      </c>
      <c r="L6" s="52" t="s">
        <v>384</v>
      </c>
      <c r="M6" s="52" t="s">
        <v>385</v>
      </c>
      <c r="N6" s="53" t="s">
        <v>386</v>
      </c>
      <c r="O6" s="53" t="s">
        <v>387</v>
      </c>
      <c r="P6" s="54" t="s">
        <v>388</v>
      </c>
      <c r="Q6" s="20" t="s">
        <v>389</v>
      </c>
      <c r="R6" s="53" t="s">
        <v>390</v>
      </c>
      <c r="S6" s="52"/>
      <c r="T6" s="52"/>
      <c r="U6" s="20" t="s">
        <v>392</v>
      </c>
      <c r="V6" s="55" t="s">
        <v>393</v>
      </c>
      <c r="W6" s="55" t="s">
        <v>394</v>
      </c>
      <c r="X6" s="55" t="s">
        <v>395</v>
      </c>
      <c r="Y6" s="56">
        <v>1</v>
      </c>
      <c r="Z6" s="56">
        <v>2</v>
      </c>
      <c r="AA6" s="56">
        <v>3</v>
      </c>
      <c r="AB6" s="56">
        <v>4</v>
      </c>
      <c r="AC6" s="56">
        <v>5</v>
      </c>
      <c r="AD6" s="56">
        <v>6</v>
      </c>
      <c r="AE6" s="56"/>
      <c r="AF6" s="57" t="s">
        <v>396</v>
      </c>
      <c r="AG6" s="22" t="s">
        <v>397</v>
      </c>
      <c r="AH6" s="22" t="s">
        <v>398</v>
      </c>
      <c r="AI6" s="22" t="s">
        <v>399</v>
      </c>
      <c r="AJ6" s="57" t="s">
        <v>400</v>
      </c>
      <c r="AK6" s="57" t="s">
        <v>401</v>
      </c>
      <c r="AL6" s="22" t="s">
        <v>402</v>
      </c>
      <c r="AM6" s="22" t="s">
        <v>403</v>
      </c>
      <c r="AN6" s="22" t="s">
        <v>397</v>
      </c>
      <c r="AO6" s="22" t="s">
        <v>398</v>
      </c>
      <c r="AP6" s="22" t="s">
        <v>399</v>
      </c>
      <c r="AQ6" s="50"/>
    </row>
    <row r="7" spans="1:45" s="26" customFormat="1">
      <c r="A7" s="52"/>
      <c r="B7" s="1"/>
      <c r="C7" s="1"/>
      <c r="D7" s="1"/>
      <c r="E7" s="26" t="s">
        <v>702</v>
      </c>
      <c r="F7" s="52"/>
      <c r="G7" s="27"/>
      <c r="H7" s="29"/>
      <c r="I7" s="29"/>
      <c r="J7" s="29"/>
      <c r="K7" s="29"/>
      <c r="L7" s="29"/>
      <c r="M7" s="27"/>
      <c r="N7" s="27"/>
      <c r="O7" s="27"/>
      <c r="P7" s="42"/>
      <c r="Q7" s="27"/>
      <c r="R7" s="27"/>
      <c r="S7" s="52" t="s">
        <v>89</v>
      </c>
      <c r="T7" s="52"/>
      <c r="U7" s="52"/>
      <c r="X7" s="32"/>
      <c r="Y7" s="32"/>
      <c r="Z7" s="32"/>
      <c r="AA7" s="32"/>
      <c r="AB7" s="32"/>
      <c r="AC7" s="32"/>
      <c r="AD7" s="32"/>
      <c r="AE7" s="32"/>
      <c r="AJ7" s="58"/>
      <c r="AK7" s="58"/>
      <c r="AN7" s="39">
        <v>600</v>
      </c>
      <c r="AO7" s="39">
        <v>598</v>
      </c>
      <c r="AP7" s="39">
        <v>593</v>
      </c>
      <c r="AQ7" s="50"/>
    </row>
    <row r="8" spans="1:45" s="26" customFormat="1">
      <c r="A8" s="29">
        <v>1</v>
      </c>
      <c r="B8" s="1">
        <v>1</v>
      </c>
      <c r="C8" s="40">
        <f t="shared" ref="C8:D46" si="2">IF(OR(V8&lt;0,V9&lt;0),"="&amp;A8+V8&amp;" ",A8)</f>
        <v>1</v>
      </c>
      <c r="D8" s="40">
        <f t="shared" si="2"/>
        <v>1</v>
      </c>
      <c r="E8" s="1" t="s">
        <v>703</v>
      </c>
      <c r="F8" s="29" t="s">
        <v>19</v>
      </c>
      <c r="G8" s="29">
        <v>200</v>
      </c>
      <c r="H8" s="29"/>
      <c r="I8" s="29">
        <v>200</v>
      </c>
      <c r="J8" s="29">
        <v>200</v>
      </c>
      <c r="K8" s="29"/>
      <c r="L8" s="29"/>
      <c r="M8" s="32">
        <f t="shared" ref="M8:M46" si="3">IFERROR(LARGE(G8:L8,1),0)+IF($F$5&gt;=2,IFERROR(LARGE(G8:L8,2),0),0)+IF($F$5&gt;=3,IFERROR(LARGE(G8:L8,3),0),0)+IF($F$5&gt;=4,IFERROR(LARGE(G8:L8,4),0),0)+IF($F$5&gt;=5,IFERROR(LARGE(G8:L8,5),0),0)+IF($F$5&gt;=6,IFERROR(LARGE(G8:L8,6),0),0)</f>
        <v>600</v>
      </c>
      <c r="N8" s="32" t="s">
        <v>1330</v>
      </c>
      <c r="O8" s="32" t="s">
        <v>90</v>
      </c>
      <c r="P8" s="42">
        <f t="shared" ref="P8:P46" si="4">M8-(ROW(M8)-ROW(M$6))/10000</f>
        <v>599.99980000000005</v>
      </c>
      <c r="Q8" s="32">
        <f t="shared" ref="Q8:Q46" si="5">COUNT(G8:L8)</f>
        <v>3</v>
      </c>
      <c r="R8" s="32">
        <f t="shared" ref="R8:R46" ca="1" si="6">IF(AND(Q8=1,OFFSET(F8,0,R$3)&gt;0),"Y",0)</f>
        <v>0</v>
      </c>
      <c r="S8" s="33" t="s">
        <v>89</v>
      </c>
      <c r="T8" s="34">
        <f t="shared" ref="T8:T46" si="7">1-(S8=S7)</f>
        <v>0</v>
      </c>
      <c r="U8" s="34">
        <f t="shared" ref="U8:U47" ca="1" si="8">OFFSET(F8,0,$R$3)</f>
        <v>0</v>
      </c>
      <c r="V8" s="34">
        <f>-SUMPRODUCT((S$6:S7=S8)*(X$6:X7=X8))</f>
        <v>0</v>
      </c>
      <c r="W8" s="34">
        <f>-SUMPRODUCT((S$6:S7=S8)*(X$6:X7=X8)*(B$6:B7&lt;&gt;"NS"))</f>
        <v>0</v>
      </c>
      <c r="X8" s="35">
        <f t="shared" ref="X8:X46" si="9">M8+SUMPRODUCT(Y$4:AD$4,Y8:AD8)</f>
        <v>600.22199999999998</v>
      </c>
      <c r="Y8" s="29">
        <v>200</v>
      </c>
      <c r="Z8" s="29">
        <v>200</v>
      </c>
      <c r="AA8" s="29">
        <v>200</v>
      </c>
      <c r="AB8" s="29"/>
      <c r="AC8" s="29"/>
      <c r="AD8" s="29"/>
      <c r="AE8" s="32"/>
      <c r="AF8" s="36">
        <v>0</v>
      </c>
      <c r="AG8" s="36">
        <v>0</v>
      </c>
      <c r="AH8" s="36">
        <v>0</v>
      </c>
      <c r="AI8" s="36">
        <v>0</v>
      </c>
      <c r="AJ8" s="37">
        <v>3</v>
      </c>
      <c r="AK8" s="67">
        <v>600.202</v>
      </c>
      <c r="AL8" s="39">
        <v>200</v>
      </c>
      <c r="AM8" s="32">
        <v>600</v>
      </c>
      <c r="AN8" s="39" t="s">
        <v>90</v>
      </c>
      <c r="AO8" s="39"/>
      <c r="AP8" s="39"/>
      <c r="AQ8" s="50"/>
      <c r="AS8" s="1"/>
    </row>
    <row r="9" spans="1:45" s="26" customFormat="1">
      <c r="A9" s="29">
        <v>2</v>
      </c>
      <c r="B9" s="1">
        <v>2</v>
      </c>
      <c r="C9" s="40">
        <f t="shared" si="2"/>
        <v>2</v>
      </c>
      <c r="D9" s="40">
        <f t="shared" si="2"/>
        <v>2</v>
      </c>
      <c r="E9" s="1" t="s">
        <v>86</v>
      </c>
      <c r="F9" s="29" t="s">
        <v>88</v>
      </c>
      <c r="G9" s="29">
        <v>199</v>
      </c>
      <c r="H9" s="29">
        <v>200</v>
      </c>
      <c r="I9" s="29">
        <v>199</v>
      </c>
      <c r="J9" s="29">
        <v>198</v>
      </c>
      <c r="K9" s="29">
        <v>200</v>
      </c>
      <c r="L9" s="29"/>
      <c r="M9" s="32">
        <f t="shared" si="3"/>
        <v>599</v>
      </c>
      <c r="N9" s="32" t="s">
        <v>1330</v>
      </c>
      <c r="O9" s="32" t="s">
        <v>143</v>
      </c>
      <c r="P9" s="42">
        <f t="shared" si="4"/>
        <v>598.99969999999996</v>
      </c>
      <c r="Q9" s="32">
        <f t="shared" si="5"/>
        <v>5</v>
      </c>
      <c r="R9" s="32">
        <f t="shared" ca="1" si="6"/>
        <v>0</v>
      </c>
      <c r="S9" s="33" t="s">
        <v>89</v>
      </c>
      <c r="T9" s="34">
        <f t="shared" si="7"/>
        <v>0</v>
      </c>
      <c r="U9" s="34">
        <f t="shared" ca="1" si="8"/>
        <v>200</v>
      </c>
      <c r="V9" s="34">
        <f>-SUMPRODUCT((S$6:S8=S9)*(X$6:X8=X9))</f>
        <v>0</v>
      </c>
      <c r="W9" s="34">
        <f>-SUMPRODUCT((S$6:S8=S9)*(X$6:X8=X9)*(B$6:B8&lt;&gt;"NS"))</f>
        <v>0</v>
      </c>
      <c r="X9" s="35">
        <f t="shared" si="9"/>
        <v>599.22199000000001</v>
      </c>
      <c r="Y9" s="29">
        <v>200</v>
      </c>
      <c r="Z9" s="29">
        <v>200</v>
      </c>
      <c r="AA9" s="29">
        <v>199</v>
      </c>
      <c r="AB9" s="29">
        <v>199</v>
      </c>
      <c r="AC9" s="29">
        <v>198</v>
      </c>
      <c r="AD9" s="29"/>
      <c r="AF9" s="36">
        <v>0</v>
      </c>
      <c r="AG9" s="36">
        <v>0</v>
      </c>
      <c r="AH9" s="36">
        <v>0</v>
      </c>
      <c r="AI9" s="36">
        <v>0</v>
      </c>
      <c r="AJ9" s="37">
        <v>4</v>
      </c>
      <c r="AK9" s="67">
        <v>598.22088799999983</v>
      </c>
      <c r="AL9" s="39">
        <v>200</v>
      </c>
      <c r="AM9" s="32">
        <v>599</v>
      </c>
      <c r="AN9" s="39"/>
      <c r="AO9" s="39" t="s">
        <v>143</v>
      </c>
      <c r="AP9" s="39"/>
      <c r="AQ9" s="50"/>
      <c r="AS9" s="1"/>
    </row>
    <row r="10" spans="1:45" s="26" customFormat="1">
      <c r="A10" s="29">
        <v>3</v>
      </c>
      <c r="B10" s="1">
        <v>3</v>
      </c>
      <c r="C10" s="40">
        <f t="shared" si="2"/>
        <v>3</v>
      </c>
      <c r="D10" s="40">
        <f t="shared" si="2"/>
        <v>3</v>
      </c>
      <c r="E10" s="1" t="s">
        <v>704</v>
      </c>
      <c r="F10" s="29" t="s">
        <v>57</v>
      </c>
      <c r="G10" s="29">
        <v>197</v>
      </c>
      <c r="H10" s="29">
        <v>199</v>
      </c>
      <c r="I10" s="29"/>
      <c r="J10" s="29">
        <v>197</v>
      </c>
      <c r="K10" s="29"/>
      <c r="L10" s="29"/>
      <c r="M10" s="32">
        <f t="shared" si="3"/>
        <v>593</v>
      </c>
      <c r="N10" s="32" t="s">
        <v>1330</v>
      </c>
      <c r="O10" s="32" t="s">
        <v>705</v>
      </c>
      <c r="P10" s="42">
        <f t="shared" si="4"/>
        <v>592.99959999999999</v>
      </c>
      <c r="Q10" s="32">
        <f t="shared" si="5"/>
        <v>3</v>
      </c>
      <c r="R10" s="32">
        <f t="shared" ca="1" si="6"/>
        <v>0</v>
      </c>
      <c r="S10" s="33" t="s">
        <v>89</v>
      </c>
      <c r="T10" s="34">
        <f t="shared" si="7"/>
        <v>0</v>
      </c>
      <c r="U10" s="34">
        <f t="shared" ca="1" si="8"/>
        <v>0</v>
      </c>
      <c r="V10" s="34">
        <f>-SUMPRODUCT((S$6:S9=S10)*(X$6:X9=X10))</f>
        <v>0</v>
      </c>
      <c r="W10" s="34">
        <f>-SUMPRODUCT((S$6:S9=S10)*(X$6:X9=X10)*(B$6:B9&lt;&gt;"NS"))</f>
        <v>0</v>
      </c>
      <c r="X10" s="35">
        <f t="shared" si="9"/>
        <v>593.22067000000004</v>
      </c>
      <c r="Y10" s="29">
        <v>199</v>
      </c>
      <c r="Z10" s="29">
        <v>197</v>
      </c>
      <c r="AA10" s="29">
        <v>197</v>
      </c>
      <c r="AB10" s="29"/>
      <c r="AC10" s="29"/>
      <c r="AD10" s="29"/>
      <c r="AF10" s="36">
        <v>0</v>
      </c>
      <c r="AG10" s="36">
        <v>0</v>
      </c>
      <c r="AH10" s="36">
        <v>0</v>
      </c>
      <c r="AI10" s="36">
        <v>0</v>
      </c>
      <c r="AJ10" s="37">
        <v>3</v>
      </c>
      <c r="AK10" s="67">
        <v>593.21847000000002</v>
      </c>
      <c r="AL10" s="39">
        <v>199</v>
      </c>
      <c r="AM10" s="32">
        <v>595</v>
      </c>
      <c r="AN10" s="39"/>
      <c r="AO10" s="39"/>
      <c r="AP10" s="39" t="s">
        <v>705</v>
      </c>
      <c r="AQ10" s="50"/>
      <c r="AS10" s="1"/>
    </row>
    <row r="11" spans="1:45" s="26" customFormat="1">
      <c r="A11" s="29">
        <v>4</v>
      </c>
      <c r="B11" s="1">
        <v>4</v>
      </c>
      <c r="C11" s="40">
        <f t="shared" si="2"/>
        <v>4</v>
      </c>
      <c r="D11" s="40">
        <f t="shared" si="2"/>
        <v>4</v>
      </c>
      <c r="E11" s="1" t="s">
        <v>114</v>
      </c>
      <c r="F11" s="29" t="s">
        <v>57</v>
      </c>
      <c r="G11" s="29">
        <v>189</v>
      </c>
      <c r="H11" s="29">
        <v>195</v>
      </c>
      <c r="I11" s="29"/>
      <c r="J11" s="29">
        <v>195</v>
      </c>
      <c r="K11" s="29">
        <v>198</v>
      </c>
      <c r="L11" s="29"/>
      <c r="M11" s="32">
        <f t="shared" si="3"/>
        <v>588</v>
      </c>
      <c r="N11" s="32" t="s">
        <v>1330</v>
      </c>
      <c r="O11" s="32"/>
      <c r="P11" s="42">
        <f t="shared" si="4"/>
        <v>587.99950000000001</v>
      </c>
      <c r="Q11" s="32">
        <f t="shared" si="5"/>
        <v>4</v>
      </c>
      <c r="R11" s="32">
        <f t="shared" ca="1" si="6"/>
        <v>0</v>
      </c>
      <c r="S11" s="33" t="s">
        <v>89</v>
      </c>
      <c r="T11" s="34">
        <f t="shared" si="7"/>
        <v>0</v>
      </c>
      <c r="U11" s="34">
        <f t="shared" ca="1" si="8"/>
        <v>198</v>
      </c>
      <c r="V11" s="34">
        <f>-SUMPRODUCT((S$6:S10=S11)*(X$6:X10=X11))</f>
        <v>0</v>
      </c>
      <c r="W11" s="34">
        <f>-SUMPRODUCT((S$6:S10=S11)*(X$6:X10=X11)*(B$6:B10&lt;&gt;"NS"))</f>
        <v>0</v>
      </c>
      <c r="X11" s="35">
        <f t="shared" si="9"/>
        <v>588.21945000000005</v>
      </c>
      <c r="Y11" s="29">
        <v>198</v>
      </c>
      <c r="Z11" s="29">
        <v>195</v>
      </c>
      <c r="AA11" s="29">
        <v>195</v>
      </c>
      <c r="AB11" s="29">
        <v>189</v>
      </c>
      <c r="AC11" s="29"/>
      <c r="AD11" s="29"/>
      <c r="AF11" s="36">
        <v>0</v>
      </c>
      <c r="AG11" s="36">
        <v>0</v>
      </c>
      <c r="AH11" s="36">
        <v>0</v>
      </c>
      <c r="AI11" s="36">
        <v>0</v>
      </c>
      <c r="AJ11" s="37">
        <v>3</v>
      </c>
      <c r="AK11" s="67">
        <v>579.20994999999994</v>
      </c>
      <c r="AL11" s="39">
        <v>195</v>
      </c>
      <c r="AM11" s="32">
        <v>585</v>
      </c>
      <c r="AN11" s="39"/>
      <c r="AO11" s="39"/>
      <c r="AP11" s="39"/>
      <c r="AQ11" s="50"/>
      <c r="AS11" s="1"/>
    </row>
    <row r="12" spans="1:45" s="26" customFormat="1">
      <c r="A12" s="29">
        <v>5</v>
      </c>
      <c r="B12" s="1">
        <v>5</v>
      </c>
      <c r="C12" s="40">
        <f t="shared" si="2"/>
        <v>5</v>
      </c>
      <c r="D12" s="40">
        <f t="shared" si="2"/>
        <v>5</v>
      </c>
      <c r="E12" s="1" t="s">
        <v>122</v>
      </c>
      <c r="F12" s="29" t="s">
        <v>103</v>
      </c>
      <c r="G12" s="29">
        <v>186</v>
      </c>
      <c r="H12" s="29">
        <v>184</v>
      </c>
      <c r="I12" s="29">
        <v>189</v>
      </c>
      <c r="J12" s="29"/>
      <c r="K12" s="29">
        <v>197</v>
      </c>
      <c r="L12" s="29"/>
      <c r="M12" s="32">
        <f t="shared" si="3"/>
        <v>572</v>
      </c>
      <c r="N12" s="32" t="s">
        <v>1330</v>
      </c>
      <c r="O12" s="32"/>
      <c r="P12" s="42">
        <f t="shared" si="4"/>
        <v>571.99940000000004</v>
      </c>
      <c r="Q12" s="32">
        <f t="shared" si="5"/>
        <v>4</v>
      </c>
      <c r="R12" s="32">
        <f t="shared" ca="1" si="6"/>
        <v>0</v>
      </c>
      <c r="S12" s="33" t="s">
        <v>89</v>
      </c>
      <c r="T12" s="34">
        <f t="shared" si="7"/>
        <v>0</v>
      </c>
      <c r="U12" s="34">
        <f t="shared" ca="1" si="8"/>
        <v>197</v>
      </c>
      <c r="V12" s="34">
        <f>-SUMPRODUCT((S$6:S11=S12)*(X$6:X11=X12))</f>
        <v>0</v>
      </c>
      <c r="W12" s="34">
        <f>-SUMPRODUCT((S$6:S11=S12)*(X$6:X11=X12)*(B$6:B11&lt;&gt;"NS"))</f>
        <v>0</v>
      </c>
      <c r="X12" s="35">
        <f t="shared" si="9"/>
        <v>572.21776</v>
      </c>
      <c r="Y12" s="29">
        <v>197</v>
      </c>
      <c r="Z12" s="29">
        <v>189</v>
      </c>
      <c r="AA12" s="29">
        <v>186</v>
      </c>
      <c r="AB12" s="29">
        <v>184</v>
      </c>
      <c r="AC12" s="29"/>
      <c r="AD12" s="29"/>
      <c r="AF12" s="36">
        <v>0</v>
      </c>
      <c r="AG12" s="36">
        <v>0</v>
      </c>
      <c r="AH12" s="36">
        <v>0</v>
      </c>
      <c r="AI12" s="36">
        <v>0</v>
      </c>
      <c r="AJ12" s="37">
        <v>3</v>
      </c>
      <c r="AK12" s="67">
        <v>559.20569000000012</v>
      </c>
      <c r="AL12" s="39">
        <v>189</v>
      </c>
      <c r="AM12" s="32">
        <v>564</v>
      </c>
      <c r="AN12" s="39"/>
      <c r="AO12" s="39"/>
      <c r="AP12" s="39"/>
      <c r="AQ12" s="50"/>
      <c r="AS12" s="1"/>
    </row>
    <row r="13" spans="1:45" s="26" customFormat="1">
      <c r="A13" s="29">
        <v>6</v>
      </c>
      <c r="B13" s="1">
        <v>6</v>
      </c>
      <c r="C13" s="40">
        <f t="shared" si="2"/>
        <v>6</v>
      </c>
      <c r="D13" s="40">
        <f t="shared" si="2"/>
        <v>6</v>
      </c>
      <c r="E13" s="1" t="s">
        <v>706</v>
      </c>
      <c r="F13" s="29" t="s">
        <v>412</v>
      </c>
      <c r="G13" s="29">
        <v>185</v>
      </c>
      <c r="H13" s="29">
        <v>169</v>
      </c>
      <c r="I13" s="29">
        <v>186</v>
      </c>
      <c r="J13" s="29">
        <v>186</v>
      </c>
      <c r="K13" s="29"/>
      <c r="L13" s="29"/>
      <c r="M13" s="32">
        <f t="shared" si="3"/>
        <v>557</v>
      </c>
      <c r="N13" s="32" t="s">
        <v>1330</v>
      </c>
      <c r="O13" s="32"/>
      <c r="P13" s="42">
        <f t="shared" si="4"/>
        <v>556.99929999999995</v>
      </c>
      <c r="Q13" s="32">
        <f t="shared" si="5"/>
        <v>4</v>
      </c>
      <c r="R13" s="32">
        <f t="shared" ca="1" si="6"/>
        <v>0</v>
      </c>
      <c r="S13" s="33" t="s">
        <v>89</v>
      </c>
      <c r="T13" s="34">
        <f t="shared" si="7"/>
        <v>0</v>
      </c>
      <c r="U13" s="34">
        <f t="shared" ca="1" si="8"/>
        <v>0</v>
      </c>
      <c r="V13" s="34">
        <f>-SUMPRODUCT((S$6:S12=S13)*(X$6:X12=X13))</f>
        <v>0</v>
      </c>
      <c r="W13" s="34">
        <f>-SUMPRODUCT((S$6:S12=S13)*(X$6:X12=X13)*(B$6:B12&lt;&gt;"NS"))</f>
        <v>0</v>
      </c>
      <c r="X13" s="35">
        <f t="shared" si="9"/>
        <v>557.20645000000002</v>
      </c>
      <c r="Y13" s="29">
        <v>186</v>
      </c>
      <c r="Z13" s="29">
        <v>186</v>
      </c>
      <c r="AA13" s="29">
        <v>185</v>
      </c>
      <c r="AB13" s="29">
        <v>169</v>
      </c>
      <c r="AC13" s="29"/>
      <c r="AD13" s="29"/>
      <c r="AF13" s="36">
        <v>0</v>
      </c>
      <c r="AG13" s="36">
        <v>0</v>
      </c>
      <c r="AH13" s="36">
        <v>0</v>
      </c>
      <c r="AI13" s="36">
        <v>0</v>
      </c>
      <c r="AJ13" s="37">
        <v>4</v>
      </c>
      <c r="AK13" s="67">
        <v>557.20324599999981</v>
      </c>
      <c r="AL13" s="39">
        <v>186</v>
      </c>
      <c r="AM13" s="32">
        <v>558</v>
      </c>
      <c r="AN13" s="39"/>
      <c r="AO13" s="39"/>
      <c r="AP13" s="39"/>
      <c r="AQ13" s="50"/>
      <c r="AS13" s="1"/>
    </row>
    <row r="14" spans="1:45" s="26" customFormat="1">
      <c r="A14" s="29">
        <v>7</v>
      </c>
      <c r="B14" s="1">
        <v>7</v>
      </c>
      <c r="C14" s="40">
        <f t="shared" si="2"/>
        <v>7</v>
      </c>
      <c r="D14" s="40">
        <f t="shared" si="2"/>
        <v>7</v>
      </c>
      <c r="E14" s="1" t="s">
        <v>173</v>
      </c>
      <c r="F14" s="29" t="s">
        <v>76</v>
      </c>
      <c r="G14" s="29">
        <v>163</v>
      </c>
      <c r="H14" s="29"/>
      <c r="I14" s="29">
        <v>185</v>
      </c>
      <c r="J14" s="29">
        <v>176</v>
      </c>
      <c r="K14" s="29">
        <v>189</v>
      </c>
      <c r="L14" s="29"/>
      <c r="M14" s="32">
        <f t="shared" si="3"/>
        <v>550</v>
      </c>
      <c r="N14" s="32" t="s">
        <v>1330</v>
      </c>
      <c r="O14" s="32"/>
      <c r="P14" s="42">
        <f t="shared" si="4"/>
        <v>549.99919999999997</v>
      </c>
      <c r="Q14" s="32">
        <f t="shared" si="5"/>
        <v>4</v>
      </c>
      <c r="R14" s="32">
        <f t="shared" ca="1" si="6"/>
        <v>0</v>
      </c>
      <c r="S14" s="33" t="s">
        <v>89</v>
      </c>
      <c r="T14" s="34">
        <f t="shared" si="7"/>
        <v>0</v>
      </c>
      <c r="U14" s="34">
        <f t="shared" ca="1" si="8"/>
        <v>189</v>
      </c>
      <c r="V14" s="34">
        <f>-SUMPRODUCT((S$6:S13=S14)*(X$6:X13=X14))</f>
        <v>0</v>
      </c>
      <c r="W14" s="34">
        <f>-SUMPRODUCT((S$6:S13=S14)*(X$6:X13=X14)*(B$6:B13&lt;&gt;"NS"))</f>
        <v>0</v>
      </c>
      <c r="X14" s="35">
        <f t="shared" si="9"/>
        <v>550.20925999999997</v>
      </c>
      <c r="Y14" s="29">
        <v>189</v>
      </c>
      <c r="Z14" s="29">
        <v>185</v>
      </c>
      <c r="AA14" s="29">
        <v>176</v>
      </c>
      <c r="AB14" s="29">
        <v>163</v>
      </c>
      <c r="AC14" s="29"/>
      <c r="AD14" s="29"/>
      <c r="AF14" s="36">
        <v>0</v>
      </c>
      <c r="AG14" s="36">
        <v>0</v>
      </c>
      <c r="AH14" s="36">
        <v>0</v>
      </c>
      <c r="AI14" s="36">
        <v>0</v>
      </c>
      <c r="AJ14" s="37">
        <v>3</v>
      </c>
      <c r="AK14" s="67">
        <v>524.16402600000004</v>
      </c>
      <c r="AL14" s="39">
        <v>185</v>
      </c>
      <c r="AM14" s="32">
        <v>546</v>
      </c>
      <c r="AN14" s="39"/>
      <c r="AO14" s="39"/>
      <c r="AP14" s="39"/>
      <c r="AQ14" s="50"/>
      <c r="AS14" s="1"/>
    </row>
    <row r="15" spans="1:45" s="26" customFormat="1">
      <c r="A15" s="29">
        <v>8</v>
      </c>
      <c r="B15" s="1">
        <v>8</v>
      </c>
      <c r="C15" s="40">
        <f t="shared" si="2"/>
        <v>8</v>
      </c>
      <c r="D15" s="40">
        <f t="shared" si="2"/>
        <v>8</v>
      </c>
      <c r="E15" s="1" t="s">
        <v>174</v>
      </c>
      <c r="F15" s="29" t="s">
        <v>57</v>
      </c>
      <c r="G15" s="29">
        <v>165</v>
      </c>
      <c r="H15" s="29">
        <v>168</v>
      </c>
      <c r="I15" s="29"/>
      <c r="J15" s="29">
        <v>183</v>
      </c>
      <c r="K15" s="29">
        <v>188</v>
      </c>
      <c r="L15" s="29"/>
      <c r="M15" s="32">
        <f t="shared" si="3"/>
        <v>539</v>
      </c>
      <c r="N15" s="32" t="s">
        <v>1330</v>
      </c>
      <c r="O15" s="32"/>
      <c r="P15" s="42">
        <f t="shared" si="4"/>
        <v>538.9991</v>
      </c>
      <c r="Q15" s="32">
        <f t="shared" si="5"/>
        <v>4</v>
      </c>
      <c r="R15" s="32">
        <f t="shared" ca="1" si="6"/>
        <v>0</v>
      </c>
      <c r="S15" s="33" t="s">
        <v>89</v>
      </c>
      <c r="T15" s="34">
        <f t="shared" si="7"/>
        <v>0</v>
      </c>
      <c r="U15" s="34">
        <f t="shared" ca="1" si="8"/>
        <v>188</v>
      </c>
      <c r="V15" s="34">
        <f>-SUMPRODUCT((S$6:S14=S15)*(X$6:X14=X15))</f>
        <v>0</v>
      </c>
      <c r="W15" s="34">
        <f>-SUMPRODUCT((S$6:S14=S15)*(X$6:X14=X15)*(B$6:B14&lt;&gt;"NS"))</f>
        <v>0</v>
      </c>
      <c r="X15" s="35">
        <f t="shared" si="9"/>
        <v>539.20798000000002</v>
      </c>
      <c r="Y15" s="29">
        <v>188</v>
      </c>
      <c r="Z15" s="29">
        <v>183</v>
      </c>
      <c r="AA15" s="29">
        <v>168</v>
      </c>
      <c r="AB15" s="29">
        <v>165</v>
      </c>
      <c r="AC15" s="29"/>
      <c r="AD15" s="29"/>
      <c r="AF15" s="36">
        <v>0</v>
      </c>
      <c r="AG15" s="36">
        <v>0</v>
      </c>
      <c r="AH15" s="36">
        <v>0</v>
      </c>
      <c r="AI15" s="36">
        <v>0</v>
      </c>
      <c r="AJ15" s="37">
        <v>3</v>
      </c>
      <c r="AK15" s="67">
        <v>516.18253000000004</v>
      </c>
      <c r="AL15" s="39">
        <v>183</v>
      </c>
      <c r="AM15" s="32">
        <v>534</v>
      </c>
      <c r="AN15" s="39"/>
      <c r="AO15" s="39"/>
      <c r="AP15" s="39"/>
      <c r="AQ15" s="50"/>
      <c r="AS15" s="1"/>
    </row>
    <row r="16" spans="1:45" s="26" customFormat="1">
      <c r="A16" s="29">
        <v>9</v>
      </c>
      <c r="B16" s="1">
        <v>9</v>
      </c>
      <c r="C16" s="40">
        <f t="shared" si="2"/>
        <v>9</v>
      </c>
      <c r="D16" s="40">
        <f t="shared" si="2"/>
        <v>9</v>
      </c>
      <c r="E16" s="1" t="s">
        <v>707</v>
      </c>
      <c r="F16" s="29" t="s">
        <v>76</v>
      </c>
      <c r="G16" s="29">
        <v>175</v>
      </c>
      <c r="H16" s="29"/>
      <c r="I16" s="29">
        <v>178</v>
      </c>
      <c r="J16" s="29">
        <v>181</v>
      </c>
      <c r="K16" s="29"/>
      <c r="L16" s="29"/>
      <c r="M16" s="32">
        <f t="shared" si="3"/>
        <v>534</v>
      </c>
      <c r="N16" s="32" t="s">
        <v>1330</v>
      </c>
      <c r="O16" s="32"/>
      <c r="P16" s="42">
        <f t="shared" si="4"/>
        <v>533.99900000000002</v>
      </c>
      <c r="Q16" s="32">
        <f t="shared" si="5"/>
        <v>3</v>
      </c>
      <c r="R16" s="32">
        <f t="shared" ca="1" si="6"/>
        <v>0</v>
      </c>
      <c r="S16" s="33" t="s">
        <v>89</v>
      </c>
      <c r="T16" s="34">
        <f t="shared" si="7"/>
        <v>0</v>
      </c>
      <c r="U16" s="34">
        <f t="shared" ca="1" si="8"/>
        <v>0</v>
      </c>
      <c r="V16" s="34">
        <f>-SUMPRODUCT((S$6:S15=S16)*(X$6:X15=X16))</f>
        <v>0</v>
      </c>
      <c r="W16" s="34">
        <f>-SUMPRODUCT((S$6:S15=S16)*(X$6:X15=X16)*(B$6:B15&lt;&gt;"NS"))</f>
        <v>0</v>
      </c>
      <c r="X16" s="35">
        <f t="shared" si="9"/>
        <v>534.20055000000002</v>
      </c>
      <c r="Y16" s="29">
        <v>181</v>
      </c>
      <c r="Z16" s="29">
        <v>178</v>
      </c>
      <c r="AA16" s="29">
        <v>175</v>
      </c>
      <c r="AB16" s="29"/>
      <c r="AC16" s="29"/>
      <c r="AD16" s="29"/>
      <c r="AF16" s="36">
        <v>0</v>
      </c>
      <c r="AG16" s="36">
        <v>0</v>
      </c>
      <c r="AH16" s="36">
        <v>0</v>
      </c>
      <c r="AI16" s="36">
        <v>0</v>
      </c>
      <c r="AJ16" s="37">
        <v>3</v>
      </c>
      <c r="AK16" s="67">
        <v>534.17618799999991</v>
      </c>
      <c r="AL16" s="39">
        <v>181</v>
      </c>
      <c r="AM16" s="32">
        <v>540</v>
      </c>
      <c r="AN16" s="39"/>
      <c r="AO16" s="39"/>
      <c r="AP16" s="39"/>
      <c r="AQ16" s="50"/>
      <c r="AS16" s="1"/>
    </row>
    <row r="17" spans="1:45" s="26" customFormat="1">
      <c r="A17" s="29">
        <v>10</v>
      </c>
      <c r="B17" s="1">
        <v>10</v>
      </c>
      <c r="C17" s="40">
        <f t="shared" si="2"/>
        <v>10</v>
      </c>
      <c r="D17" s="40">
        <f t="shared" si="2"/>
        <v>10</v>
      </c>
      <c r="E17" s="1" t="s">
        <v>708</v>
      </c>
      <c r="F17" s="29" t="s">
        <v>50</v>
      </c>
      <c r="G17" s="29">
        <v>178</v>
      </c>
      <c r="H17" s="29">
        <v>182</v>
      </c>
      <c r="I17" s="29">
        <v>170</v>
      </c>
      <c r="J17" s="29"/>
      <c r="K17" s="29"/>
      <c r="L17" s="29"/>
      <c r="M17" s="32">
        <f t="shared" si="3"/>
        <v>530</v>
      </c>
      <c r="N17" s="32" t="s">
        <v>1330</v>
      </c>
      <c r="O17" s="32"/>
      <c r="P17" s="42">
        <f t="shared" si="4"/>
        <v>529.99890000000005</v>
      </c>
      <c r="Q17" s="32">
        <f t="shared" si="5"/>
        <v>3</v>
      </c>
      <c r="R17" s="32">
        <f t="shared" ca="1" si="6"/>
        <v>0</v>
      </c>
      <c r="S17" s="33" t="s">
        <v>89</v>
      </c>
      <c r="T17" s="34">
        <f t="shared" si="7"/>
        <v>0</v>
      </c>
      <c r="U17" s="34">
        <f t="shared" ca="1" si="8"/>
        <v>0</v>
      </c>
      <c r="V17" s="34">
        <f>-SUMPRODUCT((S$6:S16=S17)*(X$6:X16=X17))</f>
        <v>0</v>
      </c>
      <c r="W17" s="34">
        <f>-SUMPRODUCT((S$6:S16=S17)*(X$6:X16=X17)*(B$6:B16&lt;&gt;"NS"))</f>
        <v>0</v>
      </c>
      <c r="X17" s="35">
        <f t="shared" si="9"/>
        <v>530.20150000000001</v>
      </c>
      <c r="Y17" s="29">
        <v>182</v>
      </c>
      <c r="Z17" s="29">
        <v>178</v>
      </c>
      <c r="AA17" s="29">
        <v>170</v>
      </c>
      <c r="AB17" s="29"/>
      <c r="AC17" s="29"/>
      <c r="AD17" s="29"/>
      <c r="AF17" s="36">
        <v>0</v>
      </c>
      <c r="AG17" s="36">
        <v>0</v>
      </c>
      <c r="AH17" s="36">
        <v>0</v>
      </c>
      <c r="AI17" s="36">
        <v>0</v>
      </c>
      <c r="AJ17" s="37">
        <v>3</v>
      </c>
      <c r="AK17" s="67">
        <v>530.197</v>
      </c>
      <c r="AL17" s="39">
        <v>182</v>
      </c>
      <c r="AM17" s="32">
        <v>542</v>
      </c>
      <c r="AN17" s="39"/>
      <c r="AO17" s="39"/>
      <c r="AP17" s="39"/>
      <c r="AQ17" s="50"/>
      <c r="AS17" s="1"/>
    </row>
    <row r="18" spans="1:45" s="26" customFormat="1">
      <c r="A18" s="29">
        <v>11</v>
      </c>
      <c r="B18" s="1">
        <v>11</v>
      </c>
      <c r="C18" s="40">
        <f t="shared" si="2"/>
        <v>11</v>
      </c>
      <c r="D18" s="40">
        <f t="shared" si="2"/>
        <v>11</v>
      </c>
      <c r="E18" s="1" t="s">
        <v>709</v>
      </c>
      <c r="F18" s="29" t="s">
        <v>93</v>
      </c>
      <c r="G18" s="29"/>
      <c r="H18" s="29">
        <v>177</v>
      </c>
      <c r="I18" s="29">
        <v>171</v>
      </c>
      <c r="J18" s="29">
        <v>147</v>
      </c>
      <c r="K18" s="29"/>
      <c r="L18" s="29"/>
      <c r="M18" s="32">
        <f t="shared" si="3"/>
        <v>495</v>
      </c>
      <c r="N18" s="32" t="s">
        <v>1330</v>
      </c>
      <c r="O18" s="32"/>
      <c r="P18" s="42">
        <f t="shared" si="4"/>
        <v>494.99880000000002</v>
      </c>
      <c r="Q18" s="32">
        <f t="shared" si="5"/>
        <v>3</v>
      </c>
      <c r="R18" s="32">
        <f t="shared" ca="1" si="6"/>
        <v>0</v>
      </c>
      <c r="S18" s="33" t="s">
        <v>89</v>
      </c>
      <c r="T18" s="34">
        <f t="shared" si="7"/>
        <v>0</v>
      </c>
      <c r="U18" s="34">
        <f t="shared" ca="1" si="8"/>
        <v>0</v>
      </c>
      <c r="V18" s="34">
        <f>-SUMPRODUCT((S$6:S17=S18)*(X$6:X17=X18))</f>
        <v>0</v>
      </c>
      <c r="W18" s="34">
        <f>-SUMPRODUCT((S$6:S17=S18)*(X$6:X17=X18)*(B$6:B17&lt;&gt;"NS"))</f>
        <v>0</v>
      </c>
      <c r="X18" s="35">
        <f t="shared" si="9"/>
        <v>495.19556999999998</v>
      </c>
      <c r="Y18" s="29">
        <v>177</v>
      </c>
      <c r="Z18" s="29">
        <v>171</v>
      </c>
      <c r="AA18" s="29">
        <v>147</v>
      </c>
      <c r="AB18" s="29"/>
      <c r="AC18" s="29"/>
      <c r="AD18" s="29"/>
      <c r="AF18" s="36">
        <v>0</v>
      </c>
      <c r="AG18" s="36">
        <v>0</v>
      </c>
      <c r="AH18" s="36">
        <v>0</v>
      </c>
      <c r="AI18" s="36">
        <v>0</v>
      </c>
      <c r="AJ18" s="37">
        <v>3</v>
      </c>
      <c r="AK18" s="67">
        <v>495.01835700000004</v>
      </c>
      <c r="AL18" s="39">
        <v>177</v>
      </c>
      <c r="AM18" s="32">
        <v>525</v>
      </c>
      <c r="AN18" s="39"/>
      <c r="AO18" s="39"/>
      <c r="AP18" s="39"/>
      <c r="AQ18" s="50"/>
      <c r="AS18" s="1"/>
    </row>
    <row r="19" spans="1:45" s="26" customFormat="1">
      <c r="A19" s="29">
        <v>12</v>
      </c>
      <c r="B19" s="1">
        <v>12</v>
      </c>
      <c r="C19" s="40">
        <f t="shared" si="2"/>
        <v>12</v>
      </c>
      <c r="D19" s="40">
        <f t="shared" si="2"/>
        <v>12</v>
      </c>
      <c r="E19" s="1" t="s">
        <v>228</v>
      </c>
      <c r="F19" s="29" t="s">
        <v>66</v>
      </c>
      <c r="G19" s="29"/>
      <c r="H19" s="29">
        <v>151</v>
      </c>
      <c r="I19" s="29">
        <v>137</v>
      </c>
      <c r="J19" s="29">
        <v>170</v>
      </c>
      <c r="K19" s="29">
        <v>174</v>
      </c>
      <c r="L19" s="29"/>
      <c r="M19" s="32">
        <f t="shared" si="3"/>
        <v>495</v>
      </c>
      <c r="N19" s="32" t="s">
        <v>1330</v>
      </c>
      <c r="O19" s="32"/>
      <c r="P19" s="42">
        <f t="shared" si="4"/>
        <v>494.99869999999999</v>
      </c>
      <c r="Q19" s="32">
        <f t="shared" si="5"/>
        <v>4</v>
      </c>
      <c r="R19" s="32">
        <f t="shared" ca="1" si="6"/>
        <v>0</v>
      </c>
      <c r="S19" s="33" t="s">
        <v>89</v>
      </c>
      <c r="T19" s="34">
        <f t="shared" si="7"/>
        <v>0</v>
      </c>
      <c r="U19" s="34">
        <f t="shared" ca="1" si="8"/>
        <v>174</v>
      </c>
      <c r="V19" s="34">
        <f>-SUMPRODUCT((S$6:S18=S19)*(X$6:X18=X19))</f>
        <v>0</v>
      </c>
      <c r="W19" s="34">
        <f>-SUMPRODUCT((S$6:S18=S19)*(X$6:X18=X19)*(B$6:B18&lt;&gt;"NS"))</f>
        <v>0</v>
      </c>
      <c r="X19" s="35">
        <f t="shared" si="9"/>
        <v>495.19251000000003</v>
      </c>
      <c r="Y19" s="29">
        <v>174</v>
      </c>
      <c r="Z19" s="29">
        <v>170</v>
      </c>
      <c r="AA19" s="29">
        <v>151</v>
      </c>
      <c r="AB19" s="29">
        <v>137</v>
      </c>
      <c r="AC19" s="29"/>
      <c r="AD19" s="29"/>
      <c r="AF19" s="36">
        <v>0</v>
      </c>
      <c r="AG19" s="36">
        <v>0</v>
      </c>
      <c r="AH19" s="36">
        <v>0</v>
      </c>
      <c r="AI19" s="36">
        <v>0</v>
      </c>
      <c r="AJ19" s="37">
        <v>3</v>
      </c>
      <c r="AK19" s="67">
        <v>458.01563700000003</v>
      </c>
      <c r="AL19" s="39">
        <v>170</v>
      </c>
      <c r="AM19" s="32">
        <v>491</v>
      </c>
      <c r="AN19" s="39"/>
      <c r="AO19" s="39"/>
      <c r="AP19" s="39"/>
      <c r="AQ19" s="50"/>
      <c r="AS19" s="1"/>
    </row>
    <row r="20" spans="1:45" s="26" customFormat="1">
      <c r="A20" s="29">
        <v>13</v>
      </c>
      <c r="B20" s="1">
        <v>13</v>
      </c>
      <c r="C20" s="40">
        <f t="shared" si="2"/>
        <v>13</v>
      </c>
      <c r="D20" s="40">
        <f t="shared" si="2"/>
        <v>13</v>
      </c>
      <c r="E20" s="1" t="s">
        <v>234</v>
      </c>
      <c r="F20" s="29" t="s">
        <v>19</v>
      </c>
      <c r="G20" s="29"/>
      <c r="H20" s="29">
        <v>141</v>
      </c>
      <c r="I20" s="29"/>
      <c r="J20" s="29">
        <v>148</v>
      </c>
      <c r="K20" s="29">
        <v>171</v>
      </c>
      <c r="L20" s="29"/>
      <c r="M20" s="32">
        <f t="shared" si="3"/>
        <v>460</v>
      </c>
      <c r="N20" s="32" t="s">
        <v>1330</v>
      </c>
      <c r="O20" s="32"/>
      <c r="P20" s="42">
        <f t="shared" si="4"/>
        <v>459.99860000000001</v>
      </c>
      <c r="Q20" s="32">
        <f t="shared" si="5"/>
        <v>3</v>
      </c>
      <c r="R20" s="32">
        <f t="shared" ca="1" si="6"/>
        <v>0</v>
      </c>
      <c r="S20" s="33" t="s">
        <v>89</v>
      </c>
      <c r="T20" s="34">
        <f t="shared" si="7"/>
        <v>0</v>
      </c>
      <c r="U20" s="34">
        <f t="shared" ca="1" si="8"/>
        <v>171</v>
      </c>
      <c r="V20" s="34">
        <f>-SUMPRODUCT((S$6:S19=S20)*(X$6:X19=X20))</f>
        <v>0</v>
      </c>
      <c r="W20" s="34">
        <f>-SUMPRODUCT((S$6:S19=S20)*(X$6:X19=X20)*(B$6:B19&lt;&gt;"NS"))</f>
        <v>0</v>
      </c>
      <c r="X20" s="35">
        <f t="shared" si="9"/>
        <v>460.18720999999999</v>
      </c>
      <c r="Y20" s="29">
        <v>171</v>
      </c>
      <c r="Z20" s="29">
        <v>148</v>
      </c>
      <c r="AA20" s="29">
        <v>141</v>
      </c>
      <c r="AB20" s="29"/>
      <c r="AC20" s="29"/>
      <c r="AD20" s="29"/>
      <c r="AF20" s="36">
        <v>0</v>
      </c>
      <c r="AG20" s="36">
        <v>0</v>
      </c>
      <c r="AH20" s="36">
        <v>0</v>
      </c>
      <c r="AI20" s="36">
        <v>0</v>
      </c>
      <c r="AJ20" s="37">
        <v>2</v>
      </c>
      <c r="AK20" s="67">
        <v>289.01337999999998</v>
      </c>
      <c r="AL20" s="39">
        <v>148</v>
      </c>
      <c r="AM20" s="32">
        <v>437</v>
      </c>
      <c r="AN20" s="39"/>
      <c r="AO20" s="39"/>
      <c r="AP20" s="39"/>
      <c r="AQ20" s="50"/>
      <c r="AS20" s="1"/>
    </row>
    <row r="21" spans="1:45" s="26" customFormat="1">
      <c r="A21" s="29">
        <v>14</v>
      </c>
      <c r="B21" s="1">
        <v>14</v>
      </c>
      <c r="C21" s="40">
        <f t="shared" si="2"/>
        <v>14</v>
      </c>
      <c r="D21" s="40">
        <f t="shared" si="2"/>
        <v>14</v>
      </c>
      <c r="E21" s="1" t="s">
        <v>710</v>
      </c>
      <c r="F21" s="29" t="s">
        <v>57</v>
      </c>
      <c r="G21" s="29"/>
      <c r="H21" s="29">
        <v>197</v>
      </c>
      <c r="I21" s="29">
        <v>198</v>
      </c>
      <c r="J21" s="29"/>
      <c r="K21" s="29"/>
      <c r="L21" s="29"/>
      <c r="M21" s="32">
        <f t="shared" si="3"/>
        <v>395</v>
      </c>
      <c r="N21" s="32" t="s">
        <v>1330</v>
      </c>
      <c r="O21" s="32"/>
      <c r="P21" s="42">
        <f t="shared" si="4"/>
        <v>394.99849999999998</v>
      </c>
      <c r="Q21" s="32">
        <f t="shared" si="5"/>
        <v>2</v>
      </c>
      <c r="R21" s="32">
        <f t="shared" ca="1" si="6"/>
        <v>0</v>
      </c>
      <c r="S21" s="33" t="s">
        <v>89</v>
      </c>
      <c r="T21" s="34">
        <f t="shared" si="7"/>
        <v>0</v>
      </c>
      <c r="U21" s="34">
        <f t="shared" ca="1" si="8"/>
        <v>0</v>
      </c>
      <c r="V21" s="34">
        <f>-SUMPRODUCT((S$6:S20=S21)*(X$6:X20=X21))</f>
        <v>0</v>
      </c>
      <c r="W21" s="34">
        <f>-SUMPRODUCT((S$6:S20=S21)*(X$6:X20=X21)*(B$6:B20&lt;&gt;"NS"))</f>
        <v>0</v>
      </c>
      <c r="X21" s="35">
        <f t="shared" si="9"/>
        <v>395.21769999999998</v>
      </c>
      <c r="Y21" s="29">
        <v>198</v>
      </c>
      <c r="Z21" s="29">
        <v>197</v>
      </c>
      <c r="AA21" s="29"/>
      <c r="AB21" s="29"/>
      <c r="AC21" s="29"/>
      <c r="AD21" s="29"/>
      <c r="AF21" s="36">
        <v>0</v>
      </c>
      <c r="AG21" s="36">
        <v>0</v>
      </c>
      <c r="AH21" s="36">
        <v>0</v>
      </c>
      <c r="AI21" s="36">
        <v>0</v>
      </c>
      <c r="AJ21" s="37">
        <v>2</v>
      </c>
      <c r="AK21" s="67">
        <v>395.02028000000001</v>
      </c>
      <c r="AL21" s="39">
        <v>198</v>
      </c>
      <c r="AM21" s="32">
        <v>593</v>
      </c>
      <c r="AN21" s="39"/>
      <c r="AO21" s="39"/>
      <c r="AP21" s="39" t="s">
        <v>705</v>
      </c>
      <c r="AQ21" s="50"/>
      <c r="AS21" s="1"/>
    </row>
    <row r="22" spans="1:45" s="26" customFormat="1">
      <c r="A22" s="29">
        <v>15</v>
      </c>
      <c r="B22" s="1">
        <v>15</v>
      </c>
      <c r="C22" s="40">
        <f t="shared" si="2"/>
        <v>15</v>
      </c>
      <c r="D22" s="40">
        <f t="shared" si="2"/>
        <v>15</v>
      </c>
      <c r="E22" s="1" t="s">
        <v>711</v>
      </c>
      <c r="F22" s="29" t="s">
        <v>50</v>
      </c>
      <c r="G22" s="29"/>
      <c r="H22" s="29"/>
      <c r="I22" s="29">
        <v>194</v>
      </c>
      <c r="J22" s="29">
        <v>193</v>
      </c>
      <c r="K22" s="29"/>
      <c r="L22" s="29"/>
      <c r="M22" s="32">
        <f t="shared" si="3"/>
        <v>387</v>
      </c>
      <c r="N22" s="32" t="s">
        <v>1330</v>
      </c>
      <c r="O22" s="32"/>
      <c r="P22" s="42">
        <f t="shared" si="4"/>
        <v>386.9984</v>
      </c>
      <c r="Q22" s="32">
        <f t="shared" si="5"/>
        <v>2</v>
      </c>
      <c r="R22" s="32">
        <f t="shared" ca="1" si="6"/>
        <v>0</v>
      </c>
      <c r="S22" s="33" t="s">
        <v>89</v>
      </c>
      <c r="T22" s="34">
        <f t="shared" si="7"/>
        <v>0</v>
      </c>
      <c r="U22" s="34">
        <f t="shared" ca="1" si="8"/>
        <v>0</v>
      </c>
      <c r="V22" s="34">
        <f>-SUMPRODUCT((S$6:S21=S22)*(X$6:X21=X22))</f>
        <v>0</v>
      </c>
      <c r="W22" s="34">
        <f>-SUMPRODUCT((S$6:S21=S22)*(X$6:X21=X22)*(B$6:B21&lt;&gt;"NS"))</f>
        <v>0</v>
      </c>
      <c r="X22" s="35">
        <f t="shared" si="9"/>
        <v>387.2133</v>
      </c>
      <c r="Y22" s="29">
        <v>194</v>
      </c>
      <c r="Z22" s="29">
        <v>193</v>
      </c>
      <c r="AA22" s="29"/>
      <c r="AB22" s="29"/>
      <c r="AC22" s="29"/>
      <c r="AD22" s="29"/>
      <c r="AF22" s="36">
        <v>0</v>
      </c>
      <c r="AG22" s="36">
        <v>0</v>
      </c>
      <c r="AH22" s="36">
        <v>0</v>
      </c>
      <c r="AI22" s="36">
        <v>0</v>
      </c>
      <c r="AJ22" s="37">
        <v>2</v>
      </c>
      <c r="AK22" s="67">
        <v>387.00053300000002</v>
      </c>
      <c r="AL22" s="39">
        <v>194</v>
      </c>
      <c r="AM22" s="32">
        <v>581</v>
      </c>
      <c r="AN22" s="39"/>
      <c r="AO22" s="39"/>
      <c r="AP22" s="39"/>
      <c r="AQ22" s="50"/>
      <c r="AS22" s="1"/>
    </row>
    <row r="23" spans="1:45" s="26" customFormat="1">
      <c r="A23" s="29">
        <v>16</v>
      </c>
      <c r="B23" s="1">
        <v>16</v>
      </c>
      <c r="C23" s="40">
        <f t="shared" si="2"/>
        <v>16</v>
      </c>
      <c r="D23" s="40">
        <f t="shared" si="2"/>
        <v>16</v>
      </c>
      <c r="E23" s="1" t="s">
        <v>712</v>
      </c>
      <c r="F23" s="29" t="s">
        <v>57</v>
      </c>
      <c r="G23" s="29">
        <v>100</v>
      </c>
      <c r="H23" s="29">
        <v>137</v>
      </c>
      <c r="I23" s="29"/>
      <c r="J23" s="29">
        <v>150</v>
      </c>
      <c r="K23" s="29"/>
      <c r="L23" s="29"/>
      <c r="M23" s="32">
        <f t="shared" si="3"/>
        <v>387</v>
      </c>
      <c r="N23" s="32" t="s">
        <v>1330</v>
      </c>
      <c r="O23" s="32"/>
      <c r="P23" s="42">
        <f t="shared" si="4"/>
        <v>386.99829999999997</v>
      </c>
      <c r="Q23" s="32">
        <f t="shared" si="5"/>
        <v>3</v>
      </c>
      <c r="R23" s="32">
        <f t="shared" ca="1" si="6"/>
        <v>0</v>
      </c>
      <c r="S23" s="33" t="s">
        <v>89</v>
      </c>
      <c r="T23" s="34">
        <f t="shared" si="7"/>
        <v>0</v>
      </c>
      <c r="U23" s="34">
        <f t="shared" ca="1" si="8"/>
        <v>0</v>
      </c>
      <c r="V23" s="34">
        <f>-SUMPRODUCT((S$6:S22=S23)*(X$6:X22=X23))</f>
        <v>0</v>
      </c>
      <c r="W23" s="34">
        <f>-SUMPRODUCT((S$6:S22=S23)*(X$6:X22=X23)*(B$6:B22&lt;&gt;"NS"))</f>
        <v>0</v>
      </c>
      <c r="X23" s="35">
        <f t="shared" si="9"/>
        <v>387.16469999999998</v>
      </c>
      <c r="Y23" s="29">
        <v>150</v>
      </c>
      <c r="Z23" s="29">
        <v>137</v>
      </c>
      <c r="AA23" s="29">
        <v>100</v>
      </c>
      <c r="AB23" s="29"/>
      <c r="AC23" s="29"/>
      <c r="AD23" s="29"/>
      <c r="AF23" s="36">
        <v>0</v>
      </c>
      <c r="AG23" s="36">
        <v>0</v>
      </c>
      <c r="AH23" s="36">
        <v>0</v>
      </c>
      <c r="AI23" s="36">
        <v>0</v>
      </c>
      <c r="AJ23" s="37">
        <v>3</v>
      </c>
      <c r="AK23" s="67">
        <v>387.11369999999999</v>
      </c>
      <c r="AL23" s="39">
        <v>150</v>
      </c>
      <c r="AM23" s="32">
        <v>437</v>
      </c>
      <c r="AN23" s="39"/>
      <c r="AO23" s="39"/>
      <c r="AP23" s="39"/>
      <c r="AQ23" s="50"/>
      <c r="AS23" s="1"/>
    </row>
    <row r="24" spans="1:45" s="26" customFormat="1">
      <c r="A24" s="29">
        <v>17</v>
      </c>
      <c r="B24" s="1">
        <v>17</v>
      </c>
      <c r="C24" s="40">
        <f t="shared" si="2"/>
        <v>17</v>
      </c>
      <c r="D24" s="40">
        <f t="shared" si="2"/>
        <v>17</v>
      </c>
      <c r="E24" s="1" t="s">
        <v>713</v>
      </c>
      <c r="F24" s="29" t="s">
        <v>38</v>
      </c>
      <c r="G24" s="29">
        <v>188</v>
      </c>
      <c r="H24" s="29">
        <v>191</v>
      </c>
      <c r="I24" s="29"/>
      <c r="J24" s="29"/>
      <c r="K24" s="29"/>
      <c r="L24" s="29"/>
      <c r="M24" s="32">
        <f t="shared" si="3"/>
        <v>379</v>
      </c>
      <c r="N24" s="32" t="s">
        <v>1330</v>
      </c>
      <c r="O24" s="32"/>
      <c r="P24" s="42">
        <f t="shared" si="4"/>
        <v>378.9982</v>
      </c>
      <c r="Q24" s="32">
        <f t="shared" si="5"/>
        <v>2</v>
      </c>
      <c r="R24" s="32">
        <f t="shared" ca="1" si="6"/>
        <v>0</v>
      </c>
      <c r="S24" s="33" t="s">
        <v>89</v>
      </c>
      <c r="T24" s="34">
        <f t="shared" si="7"/>
        <v>0</v>
      </c>
      <c r="U24" s="34">
        <f t="shared" ca="1" si="8"/>
        <v>0</v>
      </c>
      <c r="V24" s="34">
        <f>-SUMPRODUCT((S$6:S23=S24)*(X$6:X23=X24))</f>
        <v>0</v>
      </c>
      <c r="W24" s="34">
        <f>-SUMPRODUCT((S$6:S23=S24)*(X$6:X23=X24)*(B$6:B23&lt;&gt;"NS"))</f>
        <v>0</v>
      </c>
      <c r="X24" s="35">
        <f t="shared" si="9"/>
        <v>379.20979999999997</v>
      </c>
      <c r="Y24" s="29">
        <v>191</v>
      </c>
      <c r="Z24" s="29">
        <v>188</v>
      </c>
      <c r="AA24" s="29"/>
      <c r="AB24" s="29"/>
      <c r="AC24" s="29"/>
      <c r="AD24" s="29"/>
      <c r="AF24" s="36">
        <v>0</v>
      </c>
      <c r="AG24" s="36">
        <v>0</v>
      </c>
      <c r="AH24" s="36">
        <v>0</v>
      </c>
      <c r="AI24" s="36">
        <v>0</v>
      </c>
      <c r="AJ24" s="37">
        <v>2</v>
      </c>
      <c r="AK24" s="67">
        <v>379.20539999999994</v>
      </c>
      <c r="AL24" s="39">
        <v>191</v>
      </c>
      <c r="AM24" s="32">
        <v>570</v>
      </c>
      <c r="AN24" s="39"/>
      <c r="AO24" s="39"/>
      <c r="AP24" s="39"/>
      <c r="AQ24" s="50"/>
      <c r="AS24" s="1"/>
    </row>
    <row r="25" spans="1:45" s="26" customFormat="1">
      <c r="A25" s="29">
        <v>18</v>
      </c>
      <c r="B25" s="1">
        <v>18</v>
      </c>
      <c r="C25" s="40">
        <f t="shared" si="2"/>
        <v>18</v>
      </c>
      <c r="D25" s="40">
        <f t="shared" si="2"/>
        <v>18</v>
      </c>
      <c r="E25" s="1" t="s">
        <v>714</v>
      </c>
      <c r="F25" s="29" t="s">
        <v>57</v>
      </c>
      <c r="G25" s="29">
        <v>96</v>
      </c>
      <c r="H25" s="29">
        <v>136</v>
      </c>
      <c r="I25" s="29"/>
      <c r="J25" s="29">
        <v>137</v>
      </c>
      <c r="K25" s="29"/>
      <c r="L25" s="29"/>
      <c r="M25" s="32">
        <f t="shared" si="3"/>
        <v>369</v>
      </c>
      <c r="N25" s="32" t="s">
        <v>1330</v>
      </c>
      <c r="O25" s="32"/>
      <c r="P25" s="42">
        <f t="shared" si="4"/>
        <v>368.99810000000002</v>
      </c>
      <c r="Q25" s="32">
        <f t="shared" si="5"/>
        <v>3</v>
      </c>
      <c r="R25" s="32">
        <f t="shared" ca="1" si="6"/>
        <v>0</v>
      </c>
      <c r="S25" s="33" t="s">
        <v>89</v>
      </c>
      <c r="T25" s="34">
        <f t="shared" si="7"/>
        <v>0</v>
      </c>
      <c r="U25" s="34">
        <f t="shared" ca="1" si="8"/>
        <v>0</v>
      </c>
      <c r="V25" s="34">
        <f>-SUMPRODUCT((S$6:S24=S25)*(X$6:X24=X25))</f>
        <v>0</v>
      </c>
      <c r="W25" s="34">
        <f>-SUMPRODUCT((S$6:S24=S25)*(X$6:X24=X25)*(B$6:B24&lt;&gt;"NS"))</f>
        <v>0</v>
      </c>
      <c r="X25" s="35">
        <f t="shared" si="9"/>
        <v>369.15156000000002</v>
      </c>
      <c r="Y25" s="29">
        <v>137</v>
      </c>
      <c r="Z25" s="29">
        <v>136</v>
      </c>
      <c r="AA25" s="29">
        <v>96</v>
      </c>
      <c r="AB25" s="29"/>
      <c r="AC25" s="29"/>
      <c r="AD25" s="29"/>
      <c r="AF25" s="36">
        <v>0</v>
      </c>
      <c r="AG25" s="36">
        <v>0</v>
      </c>
      <c r="AH25" s="36">
        <v>0</v>
      </c>
      <c r="AI25" s="36">
        <v>0</v>
      </c>
      <c r="AJ25" s="37">
        <v>3</v>
      </c>
      <c r="AK25" s="67">
        <v>369.10917000000001</v>
      </c>
      <c r="AL25" s="39">
        <v>137</v>
      </c>
      <c r="AM25" s="32">
        <v>410</v>
      </c>
      <c r="AN25" s="39"/>
      <c r="AO25" s="39"/>
      <c r="AP25" s="39"/>
      <c r="AQ25" s="50"/>
      <c r="AS25" s="1"/>
    </row>
    <row r="26" spans="1:45" s="26" customFormat="1">
      <c r="A26" s="29">
        <v>19</v>
      </c>
      <c r="B26" s="1">
        <v>19</v>
      </c>
      <c r="C26" s="40">
        <f t="shared" si="2"/>
        <v>19</v>
      </c>
      <c r="D26" s="40">
        <f t="shared" si="2"/>
        <v>19</v>
      </c>
      <c r="E26" s="1" t="s">
        <v>715</v>
      </c>
      <c r="F26" s="29" t="s">
        <v>61</v>
      </c>
      <c r="G26" s="29"/>
      <c r="H26" s="29"/>
      <c r="I26" s="29">
        <v>169</v>
      </c>
      <c r="J26" s="29">
        <v>171</v>
      </c>
      <c r="K26" s="29"/>
      <c r="L26" s="29"/>
      <c r="M26" s="32">
        <f t="shared" si="3"/>
        <v>340</v>
      </c>
      <c r="N26" s="32" t="s">
        <v>1330</v>
      </c>
      <c r="O26" s="32"/>
      <c r="P26" s="42">
        <f t="shared" si="4"/>
        <v>339.99799999999999</v>
      </c>
      <c r="Q26" s="32">
        <f t="shared" si="5"/>
        <v>2</v>
      </c>
      <c r="R26" s="32">
        <f t="shared" ca="1" si="6"/>
        <v>0</v>
      </c>
      <c r="S26" s="33" t="s">
        <v>89</v>
      </c>
      <c r="T26" s="34">
        <f t="shared" si="7"/>
        <v>0</v>
      </c>
      <c r="U26" s="34">
        <f t="shared" ca="1" si="8"/>
        <v>0</v>
      </c>
      <c r="V26" s="34">
        <f>-SUMPRODUCT((S$6:S25=S26)*(X$6:X25=X26))</f>
        <v>0</v>
      </c>
      <c r="W26" s="34">
        <f>-SUMPRODUCT((S$6:S25=S26)*(X$6:X25=X26)*(B$6:B25&lt;&gt;"NS"))</f>
        <v>0</v>
      </c>
      <c r="X26" s="35">
        <f t="shared" si="9"/>
        <v>340.18790000000001</v>
      </c>
      <c r="Y26" s="29">
        <v>171</v>
      </c>
      <c r="Z26" s="29">
        <v>169</v>
      </c>
      <c r="AA26" s="29"/>
      <c r="AB26" s="29"/>
      <c r="AC26" s="29"/>
      <c r="AD26" s="29"/>
      <c r="AF26" s="36">
        <v>0</v>
      </c>
      <c r="AG26" s="36">
        <v>0</v>
      </c>
      <c r="AH26" s="36">
        <v>0</v>
      </c>
      <c r="AI26" s="36">
        <v>0</v>
      </c>
      <c r="AJ26" s="37">
        <v>2</v>
      </c>
      <c r="AK26" s="67">
        <v>339.99997900000005</v>
      </c>
      <c r="AL26" s="39">
        <v>171</v>
      </c>
      <c r="AM26" s="32">
        <v>511</v>
      </c>
      <c r="AN26" s="39"/>
      <c r="AO26" s="39"/>
      <c r="AP26" s="39"/>
      <c r="AQ26" s="50"/>
      <c r="AS26" s="1"/>
    </row>
    <row r="27" spans="1:45" s="26" customFormat="1">
      <c r="A27" s="29">
        <v>20</v>
      </c>
      <c r="B27" s="1">
        <v>20</v>
      </c>
      <c r="C27" s="40">
        <f t="shared" si="2"/>
        <v>20</v>
      </c>
      <c r="D27" s="40">
        <f t="shared" si="2"/>
        <v>20</v>
      </c>
      <c r="E27" s="1" t="s">
        <v>716</v>
      </c>
      <c r="F27" s="29" t="s">
        <v>252</v>
      </c>
      <c r="G27" s="29">
        <v>47</v>
      </c>
      <c r="H27" s="29">
        <v>92</v>
      </c>
      <c r="I27" s="29">
        <v>108</v>
      </c>
      <c r="J27" s="29">
        <v>122</v>
      </c>
      <c r="K27" s="29"/>
      <c r="L27" s="29"/>
      <c r="M27" s="32">
        <f t="shared" si="3"/>
        <v>322</v>
      </c>
      <c r="N27" s="32" t="s">
        <v>1330</v>
      </c>
      <c r="O27" s="32"/>
      <c r="P27" s="42">
        <f t="shared" si="4"/>
        <v>321.99790000000002</v>
      </c>
      <c r="Q27" s="32">
        <f t="shared" si="5"/>
        <v>4</v>
      </c>
      <c r="R27" s="32">
        <f t="shared" ca="1" si="6"/>
        <v>0</v>
      </c>
      <c r="S27" s="33" t="s">
        <v>89</v>
      </c>
      <c r="T27" s="34">
        <f t="shared" si="7"/>
        <v>0</v>
      </c>
      <c r="U27" s="34">
        <f t="shared" ca="1" si="8"/>
        <v>0</v>
      </c>
      <c r="V27" s="34">
        <f>-SUMPRODUCT((S$6:S26=S27)*(X$6:X26=X27))</f>
        <v>0</v>
      </c>
      <c r="W27" s="34">
        <f>-SUMPRODUCT((S$6:S26=S27)*(X$6:X26=X27)*(B$6:B26&lt;&gt;"NS"))</f>
        <v>0</v>
      </c>
      <c r="X27" s="35">
        <f t="shared" si="9"/>
        <v>322.13371999999998</v>
      </c>
      <c r="Y27" s="29">
        <v>122</v>
      </c>
      <c r="Z27" s="29">
        <v>108</v>
      </c>
      <c r="AA27" s="29">
        <v>92</v>
      </c>
      <c r="AB27" s="29">
        <v>47</v>
      </c>
      <c r="AC27" s="29"/>
      <c r="AD27" s="29"/>
      <c r="AF27" s="36">
        <v>0</v>
      </c>
      <c r="AG27" s="36">
        <v>0</v>
      </c>
      <c r="AH27" s="36">
        <v>0</v>
      </c>
      <c r="AI27" s="36">
        <v>0</v>
      </c>
      <c r="AJ27" s="37">
        <v>4</v>
      </c>
      <c r="AK27" s="67">
        <v>322.05552800000004</v>
      </c>
      <c r="AL27" s="39">
        <v>122</v>
      </c>
      <c r="AM27" s="32">
        <v>352</v>
      </c>
      <c r="AN27" s="39"/>
      <c r="AO27" s="39"/>
      <c r="AP27" s="39"/>
      <c r="AQ27" s="50"/>
      <c r="AS27" s="1"/>
    </row>
    <row r="28" spans="1:45" s="26" customFormat="1">
      <c r="A28" s="29">
        <v>21</v>
      </c>
      <c r="B28" s="1">
        <v>21</v>
      </c>
      <c r="C28" s="40">
        <f t="shared" si="2"/>
        <v>21</v>
      </c>
      <c r="D28" s="40">
        <f t="shared" si="2"/>
        <v>21</v>
      </c>
      <c r="E28" s="1" t="s">
        <v>717</v>
      </c>
      <c r="F28" s="29" t="s">
        <v>57</v>
      </c>
      <c r="G28" s="29">
        <v>149</v>
      </c>
      <c r="H28" s="29"/>
      <c r="I28" s="29">
        <v>144</v>
      </c>
      <c r="J28" s="29"/>
      <c r="K28" s="29"/>
      <c r="L28" s="29"/>
      <c r="M28" s="32">
        <f t="shared" si="3"/>
        <v>293</v>
      </c>
      <c r="N28" s="32" t="s">
        <v>1330</v>
      </c>
      <c r="O28" s="32"/>
      <c r="P28" s="42">
        <f t="shared" si="4"/>
        <v>292.99779999999998</v>
      </c>
      <c r="Q28" s="32">
        <f t="shared" si="5"/>
        <v>2</v>
      </c>
      <c r="R28" s="32">
        <f t="shared" ca="1" si="6"/>
        <v>0</v>
      </c>
      <c r="S28" s="33" t="s">
        <v>89</v>
      </c>
      <c r="T28" s="34">
        <f t="shared" si="7"/>
        <v>0</v>
      </c>
      <c r="U28" s="34">
        <f t="shared" ca="1" si="8"/>
        <v>0</v>
      </c>
      <c r="V28" s="34">
        <f>-SUMPRODUCT((S$6:S27=S28)*(X$6:X27=X28))</f>
        <v>0</v>
      </c>
      <c r="W28" s="34">
        <f>-SUMPRODUCT((S$6:S27=S28)*(X$6:X27=X28)*(B$6:B27&lt;&gt;"NS"))</f>
        <v>0</v>
      </c>
      <c r="X28" s="35">
        <f t="shared" si="9"/>
        <v>293.16340000000002</v>
      </c>
      <c r="Y28" s="29">
        <v>149</v>
      </c>
      <c r="Z28" s="29">
        <v>144</v>
      </c>
      <c r="AA28" s="29"/>
      <c r="AB28" s="29"/>
      <c r="AC28" s="29"/>
      <c r="AD28" s="29"/>
      <c r="AF28" s="36">
        <v>0</v>
      </c>
      <c r="AG28" s="36">
        <v>0</v>
      </c>
      <c r="AH28" s="36">
        <v>0</v>
      </c>
      <c r="AI28" s="36">
        <v>0</v>
      </c>
      <c r="AJ28" s="37">
        <v>2</v>
      </c>
      <c r="AK28" s="67">
        <v>293.14834000000002</v>
      </c>
      <c r="AL28" s="39">
        <v>149</v>
      </c>
      <c r="AM28" s="32">
        <v>442</v>
      </c>
      <c r="AN28" s="39"/>
      <c r="AO28" s="39"/>
      <c r="AP28" s="39"/>
      <c r="AQ28" s="50"/>
      <c r="AS28" s="1"/>
    </row>
    <row r="29" spans="1:45" s="26" customFormat="1">
      <c r="A29" s="29">
        <v>22</v>
      </c>
      <c r="B29" s="1">
        <v>22</v>
      </c>
      <c r="C29" s="40">
        <f t="shared" si="2"/>
        <v>22</v>
      </c>
      <c r="D29" s="40">
        <f t="shared" si="2"/>
        <v>22</v>
      </c>
      <c r="E29" s="1" t="s">
        <v>293</v>
      </c>
      <c r="F29" s="29" t="s">
        <v>57</v>
      </c>
      <c r="G29" s="29"/>
      <c r="H29" s="29"/>
      <c r="I29" s="29">
        <v>90</v>
      </c>
      <c r="J29" s="29"/>
      <c r="K29" s="29">
        <v>151</v>
      </c>
      <c r="L29" s="29"/>
      <c r="M29" s="32">
        <f t="shared" si="3"/>
        <v>241</v>
      </c>
      <c r="N29" s="32" t="s">
        <v>1330</v>
      </c>
      <c r="O29" s="32"/>
      <c r="P29" s="42">
        <f t="shared" si="4"/>
        <v>240.99770000000001</v>
      </c>
      <c r="Q29" s="32">
        <f t="shared" si="5"/>
        <v>2</v>
      </c>
      <c r="R29" s="32">
        <f t="shared" ca="1" si="6"/>
        <v>0</v>
      </c>
      <c r="S29" s="33" t="s">
        <v>89</v>
      </c>
      <c r="T29" s="34">
        <f t="shared" si="7"/>
        <v>0</v>
      </c>
      <c r="U29" s="34">
        <f t="shared" ca="1" si="8"/>
        <v>151</v>
      </c>
      <c r="V29" s="34">
        <f>-SUMPRODUCT((S$6:S28=S29)*(X$6:X28=X29))</f>
        <v>0</v>
      </c>
      <c r="W29" s="34">
        <f>-SUMPRODUCT((S$6:S28=S29)*(X$6:X28=X29)*(B$6:B28&lt;&gt;"NS"))</f>
        <v>0</v>
      </c>
      <c r="X29" s="35">
        <f t="shared" si="9"/>
        <v>241.16</v>
      </c>
      <c r="Y29" s="29">
        <v>151</v>
      </c>
      <c r="Z29" s="29">
        <v>90</v>
      </c>
      <c r="AA29" s="29"/>
      <c r="AB29" s="29"/>
      <c r="AC29" s="29"/>
      <c r="AD29" s="29"/>
      <c r="AF29" s="36">
        <v>0</v>
      </c>
      <c r="AG29" s="36">
        <v>0</v>
      </c>
      <c r="AH29" s="36">
        <v>0</v>
      </c>
      <c r="AI29" s="36">
        <v>0</v>
      </c>
      <c r="AJ29" s="37">
        <v>1</v>
      </c>
      <c r="AK29" s="67">
        <v>89.997200000000007</v>
      </c>
      <c r="AL29" s="39">
        <v>90</v>
      </c>
      <c r="AM29" s="32">
        <v>180</v>
      </c>
      <c r="AN29" s="39"/>
      <c r="AO29" s="39"/>
      <c r="AP29" s="39"/>
      <c r="AQ29" s="50"/>
      <c r="AS29" s="1"/>
    </row>
    <row r="30" spans="1:45" s="26" customFormat="1">
      <c r="A30" s="29">
        <v>23</v>
      </c>
      <c r="B30" s="1">
        <v>23</v>
      </c>
      <c r="C30" s="40">
        <f t="shared" si="2"/>
        <v>23</v>
      </c>
      <c r="D30" s="40">
        <f t="shared" si="2"/>
        <v>23</v>
      </c>
      <c r="E30" s="1" t="s">
        <v>718</v>
      </c>
      <c r="F30" s="29" t="s">
        <v>38</v>
      </c>
      <c r="G30" s="29">
        <v>113</v>
      </c>
      <c r="H30" s="29">
        <v>119</v>
      </c>
      <c r="I30" s="29"/>
      <c r="J30" s="29"/>
      <c r="K30" s="29"/>
      <c r="L30" s="29"/>
      <c r="M30" s="32">
        <f t="shared" si="3"/>
        <v>232</v>
      </c>
      <c r="N30" s="32" t="s">
        <v>1330</v>
      </c>
      <c r="O30" s="32"/>
      <c r="P30" s="42">
        <f t="shared" si="4"/>
        <v>231.99760000000001</v>
      </c>
      <c r="Q30" s="32">
        <f t="shared" si="5"/>
        <v>2</v>
      </c>
      <c r="R30" s="32">
        <f t="shared" ca="1" si="6"/>
        <v>0</v>
      </c>
      <c r="S30" s="33" t="s">
        <v>89</v>
      </c>
      <c r="T30" s="34">
        <f t="shared" si="7"/>
        <v>0</v>
      </c>
      <c r="U30" s="34">
        <f t="shared" ca="1" si="8"/>
        <v>0</v>
      </c>
      <c r="V30" s="34">
        <f>-SUMPRODUCT((S$6:S29=S30)*(X$6:X29=X30))</f>
        <v>0</v>
      </c>
      <c r="W30" s="34">
        <f>-SUMPRODUCT((S$6:S29=S30)*(X$6:X29=X30)*(B$6:B29&lt;&gt;"NS"))</f>
        <v>0</v>
      </c>
      <c r="X30" s="35">
        <f t="shared" si="9"/>
        <v>232.13030000000001</v>
      </c>
      <c r="Y30" s="29">
        <v>119</v>
      </c>
      <c r="Z30" s="29">
        <v>113</v>
      </c>
      <c r="AA30" s="29"/>
      <c r="AB30" s="29"/>
      <c r="AC30" s="29"/>
      <c r="AD30" s="29"/>
      <c r="AF30" s="36">
        <v>0</v>
      </c>
      <c r="AG30" s="36">
        <v>0</v>
      </c>
      <c r="AH30" s="36">
        <v>0</v>
      </c>
      <c r="AI30" s="36">
        <v>0</v>
      </c>
      <c r="AJ30" s="37">
        <v>2</v>
      </c>
      <c r="AK30" s="67">
        <v>232.12260000000001</v>
      </c>
      <c r="AL30" s="39">
        <v>119</v>
      </c>
      <c r="AM30" s="32">
        <v>351</v>
      </c>
      <c r="AN30" s="39"/>
      <c r="AO30" s="39"/>
      <c r="AP30" s="39"/>
      <c r="AQ30" s="50"/>
      <c r="AS30" s="1"/>
    </row>
    <row r="31" spans="1:45" s="26" customFormat="1">
      <c r="A31" s="29">
        <v>24</v>
      </c>
      <c r="B31" s="1">
        <v>24</v>
      </c>
      <c r="C31" s="40">
        <f t="shared" si="2"/>
        <v>24</v>
      </c>
      <c r="D31" s="40">
        <f t="shared" si="2"/>
        <v>24</v>
      </c>
      <c r="E31" s="1" t="s">
        <v>719</v>
      </c>
      <c r="F31" s="29" t="s">
        <v>50</v>
      </c>
      <c r="G31" s="29">
        <v>95</v>
      </c>
      <c r="H31" s="29"/>
      <c r="I31" s="29">
        <v>131</v>
      </c>
      <c r="J31" s="29"/>
      <c r="K31" s="29"/>
      <c r="L31" s="29"/>
      <c r="M31" s="32">
        <f t="shared" si="3"/>
        <v>226</v>
      </c>
      <c r="N31" s="32" t="s">
        <v>1330</v>
      </c>
      <c r="O31" s="32"/>
      <c r="P31" s="42">
        <f t="shared" si="4"/>
        <v>225.9975</v>
      </c>
      <c r="Q31" s="32">
        <f t="shared" si="5"/>
        <v>2</v>
      </c>
      <c r="R31" s="32">
        <f t="shared" ca="1" si="6"/>
        <v>0</v>
      </c>
      <c r="S31" s="33" t="s">
        <v>89</v>
      </c>
      <c r="T31" s="34">
        <f t="shared" si="7"/>
        <v>0</v>
      </c>
      <c r="U31" s="34">
        <f t="shared" ca="1" si="8"/>
        <v>0</v>
      </c>
      <c r="V31" s="34">
        <f>-SUMPRODUCT((S$6:S30=S31)*(X$6:X30=X31))</f>
        <v>0</v>
      </c>
      <c r="W31" s="34">
        <f>-SUMPRODUCT((S$6:S30=S31)*(X$6:X30=X31)*(B$6:B30&lt;&gt;"NS"))</f>
        <v>0</v>
      </c>
      <c r="X31" s="35">
        <f t="shared" si="9"/>
        <v>226.1405</v>
      </c>
      <c r="Y31" s="29">
        <v>131</v>
      </c>
      <c r="Z31" s="29">
        <v>95</v>
      </c>
      <c r="AA31" s="29"/>
      <c r="AB31" s="29"/>
      <c r="AC31" s="29"/>
      <c r="AD31" s="29"/>
      <c r="AF31" s="36">
        <v>0</v>
      </c>
      <c r="AG31" s="36">
        <v>0</v>
      </c>
      <c r="AH31" s="36">
        <v>0</v>
      </c>
      <c r="AI31" s="36">
        <v>0</v>
      </c>
      <c r="AJ31" s="37">
        <v>2</v>
      </c>
      <c r="AK31" s="67">
        <v>226.09390999999999</v>
      </c>
      <c r="AL31" s="39">
        <v>131</v>
      </c>
      <c r="AM31" s="32">
        <v>357</v>
      </c>
      <c r="AN31" s="39"/>
      <c r="AO31" s="39"/>
      <c r="AP31" s="39"/>
      <c r="AQ31" s="50"/>
      <c r="AS31" s="1"/>
    </row>
    <row r="32" spans="1:45" s="26" customFormat="1">
      <c r="A32" s="29">
        <v>25</v>
      </c>
      <c r="B32" s="1">
        <v>25</v>
      </c>
      <c r="C32" s="40">
        <f t="shared" si="2"/>
        <v>25</v>
      </c>
      <c r="D32" s="40">
        <f t="shared" si="2"/>
        <v>25</v>
      </c>
      <c r="E32" s="1" t="s">
        <v>720</v>
      </c>
      <c r="F32" s="29" t="s">
        <v>50</v>
      </c>
      <c r="G32" s="29"/>
      <c r="H32" s="29"/>
      <c r="I32" s="29"/>
      <c r="J32" s="29">
        <v>199</v>
      </c>
      <c r="K32" s="29"/>
      <c r="L32" s="29"/>
      <c r="M32" s="32">
        <f t="shared" si="3"/>
        <v>199</v>
      </c>
      <c r="N32" s="32" t="s">
        <v>1330</v>
      </c>
      <c r="O32" s="32"/>
      <c r="P32" s="42">
        <f t="shared" si="4"/>
        <v>198.9974</v>
      </c>
      <c r="Q32" s="32">
        <f t="shared" si="5"/>
        <v>1</v>
      </c>
      <c r="R32" s="32">
        <f t="shared" ca="1" si="6"/>
        <v>0</v>
      </c>
      <c r="S32" s="33" t="s">
        <v>89</v>
      </c>
      <c r="T32" s="34">
        <f t="shared" si="7"/>
        <v>0</v>
      </c>
      <c r="U32" s="34">
        <f t="shared" ca="1" si="8"/>
        <v>0</v>
      </c>
      <c r="V32" s="34">
        <f>-SUMPRODUCT((S$6:S31=S32)*(X$6:X31=X32))</f>
        <v>0</v>
      </c>
      <c r="W32" s="34">
        <f>-SUMPRODUCT((S$6:S31=S32)*(X$6:X31=X32)*(B$6:B31&lt;&gt;"NS"))</f>
        <v>0</v>
      </c>
      <c r="X32" s="35">
        <f t="shared" si="9"/>
        <v>199.19900000000001</v>
      </c>
      <c r="Y32" s="29">
        <v>199</v>
      </c>
      <c r="Z32" s="29"/>
      <c r="AA32" s="29"/>
      <c r="AB32" s="29"/>
      <c r="AC32" s="29"/>
      <c r="AD32" s="29"/>
      <c r="AF32" s="36">
        <v>0</v>
      </c>
      <c r="AG32" s="36">
        <v>0</v>
      </c>
      <c r="AH32" s="36">
        <v>0</v>
      </c>
      <c r="AI32" s="36">
        <v>0</v>
      </c>
      <c r="AJ32" s="37">
        <v>1</v>
      </c>
      <c r="AK32" s="67">
        <v>198.99949000000001</v>
      </c>
      <c r="AL32" s="39">
        <v>199</v>
      </c>
      <c r="AM32" s="32">
        <v>398</v>
      </c>
      <c r="AN32" s="39"/>
      <c r="AO32" s="39"/>
      <c r="AP32" s="39"/>
      <c r="AQ32" s="50"/>
      <c r="AS32" s="1"/>
    </row>
    <row r="33" spans="1:45" s="26" customFormat="1">
      <c r="A33" s="29">
        <v>26</v>
      </c>
      <c r="B33" s="1">
        <v>26</v>
      </c>
      <c r="C33" s="40">
        <f t="shared" si="2"/>
        <v>26</v>
      </c>
      <c r="D33" s="40">
        <f t="shared" si="2"/>
        <v>26</v>
      </c>
      <c r="E33" s="1" t="s">
        <v>721</v>
      </c>
      <c r="F33" s="29" t="s">
        <v>76</v>
      </c>
      <c r="G33" s="29">
        <v>196</v>
      </c>
      <c r="H33" s="29"/>
      <c r="I33" s="29"/>
      <c r="J33" s="29"/>
      <c r="K33" s="29"/>
      <c r="L33" s="29"/>
      <c r="M33" s="32">
        <f t="shared" si="3"/>
        <v>196</v>
      </c>
      <c r="N33" s="32" t="s">
        <v>1330</v>
      </c>
      <c r="O33" s="32"/>
      <c r="P33" s="42">
        <f t="shared" si="4"/>
        <v>195.9973</v>
      </c>
      <c r="Q33" s="32">
        <f t="shared" si="5"/>
        <v>1</v>
      </c>
      <c r="R33" s="32">
        <f t="shared" ca="1" si="6"/>
        <v>0</v>
      </c>
      <c r="S33" s="33" t="s">
        <v>89</v>
      </c>
      <c r="T33" s="34">
        <f t="shared" si="7"/>
        <v>0</v>
      </c>
      <c r="U33" s="34">
        <f t="shared" ca="1" si="8"/>
        <v>0</v>
      </c>
      <c r="V33" s="34">
        <f>-SUMPRODUCT((S$6:S32=S33)*(X$6:X32=X33))</f>
        <v>0</v>
      </c>
      <c r="W33" s="34">
        <f>-SUMPRODUCT((S$6:S32=S33)*(X$6:X32=X33)*(B$6:B32&lt;&gt;"NS"))</f>
        <v>0</v>
      </c>
      <c r="X33" s="35">
        <f t="shared" si="9"/>
        <v>196.196</v>
      </c>
      <c r="Y33" s="29">
        <v>196</v>
      </c>
      <c r="Z33" s="29"/>
      <c r="AA33" s="29"/>
      <c r="AB33" s="29"/>
      <c r="AC33" s="29"/>
      <c r="AD33" s="29"/>
      <c r="AF33" s="36">
        <v>0</v>
      </c>
      <c r="AG33" s="36">
        <v>0</v>
      </c>
      <c r="AH33" s="36">
        <v>0</v>
      </c>
      <c r="AI33" s="36">
        <v>0</v>
      </c>
      <c r="AJ33" s="37">
        <v>1</v>
      </c>
      <c r="AK33" s="67">
        <v>196.1934</v>
      </c>
      <c r="AL33" s="39">
        <v>196</v>
      </c>
      <c r="AM33" s="32">
        <v>392</v>
      </c>
      <c r="AN33" s="39"/>
      <c r="AO33" s="39"/>
      <c r="AP33" s="39"/>
      <c r="AQ33" s="50"/>
      <c r="AS33" s="1"/>
    </row>
    <row r="34" spans="1:45" s="26" customFormat="1">
      <c r="A34" s="29">
        <v>27</v>
      </c>
      <c r="B34" s="1">
        <v>27</v>
      </c>
      <c r="C34" s="40">
        <f t="shared" si="2"/>
        <v>27</v>
      </c>
      <c r="D34" s="40">
        <f t="shared" si="2"/>
        <v>27</v>
      </c>
      <c r="E34" s="1" t="s">
        <v>722</v>
      </c>
      <c r="F34" s="29" t="s">
        <v>66</v>
      </c>
      <c r="G34" s="29"/>
      <c r="H34" s="29"/>
      <c r="I34" s="29"/>
      <c r="J34" s="29">
        <v>192</v>
      </c>
      <c r="K34" s="29"/>
      <c r="L34" s="29"/>
      <c r="M34" s="32">
        <f t="shared" si="3"/>
        <v>192</v>
      </c>
      <c r="N34" s="32" t="s">
        <v>1330</v>
      </c>
      <c r="O34" s="32"/>
      <c r="P34" s="42">
        <f t="shared" si="4"/>
        <v>191.99719999999999</v>
      </c>
      <c r="Q34" s="32">
        <f t="shared" si="5"/>
        <v>1</v>
      </c>
      <c r="R34" s="32">
        <f t="shared" ca="1" si="6"/>
        <v>0</v>
      </c>
      <c r="S34" s="33" t="s">
        <v>89</v>
      </c>
      <c r="T34" s="34">
        <f t="shared" si="7"/>
        <v>0</v>
      </c>
      <c r="U34" s="34">
        <f t="shared" ca="1" si="8"/>
        <v>0</v>
      </c>
      <c r="V34" s="34">
        <f>-SUMPRODUCT((S$6:S33=S34)*(X$6:X33=X34))</f>
        <v>0</v>
      </c>
      <c r="W34" s="34">
        <f>-SUMPRODUCT((S$6:S33=S34)*(X$6:X33=X34)*(B$6:B33&lt;&gt;"NS"))</f>
        <v>0</v>
      </c>
      <c r="X34" s="35">
        <f t="shared" si="9"/>
        <v>192.19200000000001</v>
      </c>
      <c r="Y34" s="29">
        <v>192</v>
      </c>
      <c r="Z34" s="29"/>
      <c r="AA34" s="29"/>
      <c r="AB34" s="29"/>
      <c r="AC34" s="29"/>
      <c r="AD34" s="29"/>
      <c r="AF34" s="36">
        <v>0</v>
      </c>
      <c r="AG34" s="36">
        <v>0</v>
      </c>
      <c r="AH34" s="36">
        <v>0</v>
      </c>
      <c r="AI34" s="36">
        <v>0</v>
      </c>
      <c r="AJ34" s="37">
        <v>1</v>
      </c>
      <c r="AK34" s="67">
        <v>191.99922000000001</v>
      </c>
      <c r="AL34" s="39">
        <v>192</v>
      </c>
      <c r="AM34" s="32">
        <v>384</v>
      </c>
      <c r="AN34" s="39"/>
      <c r="AO34" s="39"/>
      <c r="AP34" s="39"/>
      <c r="AQ34" s="50"/>
      <c r="AS34" s="1"/>
    </row>
    <row r="35" spans="1:45" s="26" customFormat="1">
      <c r="A35" s="29">
        <v>28</v>
      </c>
      <c r="B35" s="1">
        <v>28</v>
      </c>
      <c r="C35" s="40">
        <f t="shared" si="2"/>
        <v>28</v>
      </c>
      <c r="D35" s="40">
        <f t="shared" si="2"/>
        <v>28</v>
      </c>
      <c r="E35" s="1" t="s">
        <v>723</v>
      </c>
      <c r="F35" s="29" t="s">
        <v>38</v>
      </c>
      <c r="G35" s="29"/>
      <c r="H35" s="29">
        <v>183</v>
      </c>
      <c r="I35" s="29"/>
      <c r="J35" s="29"/>
      <c r="K35" s="29"/>
      <c r="L35" s="29"/>
      <c r="M35" s="32">
        <f t="shared" si="3"/>
        <v>183</v>
      </c>
      <c r="N35" s="32" t="s">
        <v>1330</v>
      </c>
      <c r="O35" s="32"/>
      <c r="P35" s="42">
        <f t="shared" si="4"/>
        <v>182.99709999999999</v>
      </c>
      <c r="Q35" s="32">
        <f t="shared" si="5"/>
        <v>1</v>
      </c>
      <c r="R35" s="32">
        <f t="shared" ca="1" si="6"/>
        <v>0</v>
      </c>
      <c r="S35" s="33" t="s">
        <v>89</v>
      </c>
      <c r="T35" s="34">
        <f t="shared" si="7"/>
        <v>0</v>
      </c>
      <c r="U35" s="34">
        <f t="shared" ca="1" si="8"/>
        <v>0</v>
      </c>
      <c r="V35" s="34">
        <f>-SUMPRODUCT((S$6:S34=S35)*(X$6:X34=X35))</f>
        <v>0</v>
      </c>
      <c r="W35" s="34">
        <f>-SUMPRODUCT((S$6:S34=S35)*(X$6:X34=X35)*(B$6:B34&lt;&gt;"NS"))</f>
        <v>0</v>
      </c>
      <c r="X35" s="35">
        <f t="shared" si="9"/>
        <v>183.18299999999999</v>
      </c>
      <c r="Y35" s="29">
        <v>183</v>
      </c>
      <c r="Z35" s="29"/>
      <c r="AA35" s="29"/>
      <c r="AB35" s="29"/>
      <c r="AC35" s="29"/>
      <c r="AD35" s="29"/>
      <c r="AF35" s="36">
        <v>0</v>
      </c>
      <c r="AG35" s="36">
        <v>0</v>
      </c>
      <c r="AH35" s="36">
        <v>0</v>
      </c>
      <c r="AI35" s="36">
        <v>0</v>
      </c>
      <c r="AJ35" s="37">
        <v>1</v>
      </c>
      <c r="AK35" s="67">
        <v>183.0155</v>
      </c>
      <c r="AL35" s="39">
        <v>183</v>
      </c>
      <c r="AM35" s="32">
        <v>366</v>
      </c>
      <c r="AN35" s="39"/>
      <c r="AO35" s="39"/>
      <c r="AP35" s="39"/>
      <c r="AQ35" s="50"/>
      <c r="AS35" s="1"/>
    </row>
    <row r="36" spans="1:45" s="26" customFormat="1">
      <c r="A36" s="29">
        <v>29</v>
      </c>
      <c r="B36" s="1">
        <v>29</v>
      </c>
      <c r="C36" s="40">
        <f t="shared" si="2"/>
        <v>29</v>
      </c>
      <c r="D36" s="40">
        <f t="shared" si="2"/>
        <v>29</v>
      </c>
      <c r="E36" s="1" t="s">
        <v>724</v>
      </c>
      <c r="F36" s="29" t="s">
        <v>53</v>
      </c>
      <c r="G36" s="29">
        <v>160</v>
      </c>
      <c r="H36" s="29"/>
      <c r="I36" s="29"/>
      <c r="J36" s="29"/>
      <c r="K36" s="29"/>
      <c r="L36" s="29"/>
      <c r="M36" s="32">
        <f t="shared" si="3"/>
        <v>160</v>
      </c>
      <c r="N36" s="32" t="s">
        <v>1330</v>
      </c>
      <c r="O36" s="32"/>
      <c r="P36" s="42">
        <f t="shared" si="4"/>
        <v>159.99700000000001</v>
      </c>
      <c r="Q36" s="32">
        <f t="shared" si="5"/>
        <v>1</v>
      </c>
      <c r="R36" s="32">
        <f t="shared" ca="1" si="6"/>
        <v>0</v>
      </c>
      <c r="S36" s="33" t="s">
        <v>89</v>
      </c>
      <c r="T36" s="34">
        <f t="shared" si="7"/>
        <v>0</v>
      </c>
      <c r="U36" s="34">
        <f t="shared" ca="1" si="8"/>
        <v>0</v>
      </c>
      <c r="V36" s="34">
        <f>-SUMPRODUCT((S$6:S35=S36)*(X$6:X35=X36))</f>
        <v>0</v>
      </c>
      <c r="W36" s="34">
        <f>-SUMPRODUCT((S$6:S35=S36)*(X$6:X35=X36)*(B$6:B35&lt;&gt;"NS"))</f>
        <v>0</v>
      </c>
      <c r="X36" s="35">
        <f t="shared" si="9"/>
        <v>160.16</v>
      </c>
      <c r="Y36" s="29">
        <v>160</v>
      </c>
      <c r="Z36" s="29"/>
      <c r="AA36" s="29"/>
      <c r="AB36" s="29"/>
      <c r="AC36" s="29"/>
      <c r="AD36" s="29"/>
      <c r="AF36" s="36">
        <v>0</v>
      </c>
      <c r="AG36" s="36">
        <v>0</v>
      </c>
      <c r="AH36" s="36">
        <v>0</v>
      </c>
      <c r="AI36" s="36">
        <v>0</v>
      </c>
      <c r="AJ36" s="37">
        <v>1</v>
      </c>
      <c r="AK36" s="67">
        <v>160.15709999999999</v>
      </c>
      <c r="AL36" s="39">
        <v>160</v>
      </c>
      <c r="AM36" s="32">
        <v>320</v>
      </c>
      <c r="AN36" s="39"/>
      <c r="AO36" s="39"/>
      <c r="AP36" s="39"/>
      <c r="AQ36" s="50"/>
      <c r="AS36" s="1"/>
    </row>
    <row r="37" spans="1:45" s="26" customFormat="1">
      <c r="A37" s="29">
        <v>30</v>
      </c>
      <c r="B37" s="1">
        <v>30</v>
      </c>
      <c r="C37" s="40">
        <f t="shared" si="2"/>
        <v>30</v>
      </c>
      <c r="D37" s="40">
        <f t="shared" si="2"/>
        <v>30</v>
      </c>
      <c r="E37" s="1" t="s">
        <v>725</v>
      </c>
      <c r="F37" s="29" t="s">
        <v>50</v>
      </c>
      <c r="G37" s="29"/>
      <c r="H37" s="29"/>
      <c r="I37" s="29">
        <v>158</v>
      </c>
      <c r="J37" s="29"/>
      <c r="K37" s="29"/>
      <c r="L37" s="29"/>
      <c r="M37" s="32">
        <f t="shared" si="3"/>
        <v>158</v>
      </c>
      <c r="N37" s="32" t="s">
        <v>1330</v>
      </c>
      <c r="O37" s="32"/>
      <c r="P37" s="42">
        <f t="shared" si="4"/>
        <v>157.99690000000001</v>
      </c>
      <c r="Q37" s="32">
        <f t="shared" si="5"/>
        <v>1</v>
      </c>
      <c r="R37" s="32">
        <f t="shared" ca="1" si="6"/>
        <v>0</v>
      </c>
      <c r="S37" s="33" t="s">
        <v>89</v>
      </c>
      <c r="T37" s="34">
        <f t="shared" si="7"/>
        <v>0</v>
      </c>
      <c r="U37" s="34">
        <f t="shared" ca="1" si="8"/>
        <v>0</v>
      </c>
      <c r="V37" s="34">
        <f>-SUMPRODUCT((S$6:S36=S37)*(X$6:X36=X37))</f>
        <v>0</v>
      </c>
      <c r="W37" s="34">
        <f>-SUMPRODUCT((S$6:S36=S37)*(X$6:X36=X37)*(B$6:B36&lt;&gt;"NS"))</f>
        <v>0</v>
      </c>
      <c r="X37" s="35">
        <f t="shared" si="9"/>
        <v>158.15799999999999</v>
      </c>
      <c r="Y37" s="29">
        <v>158</v>
      </c>
      <c r="Z37" s="29"/>
      <c r="AA37" s="29"/>
      <c r="AB37" s="29"/>
      <c r="AC37" s="29"/>
      <c r="AD37" s="29"/>
      <c r="AF37" s="36">
        <v>0</v>
      </c>
      <c r="AG37" s="36">
        <v>0</v>
      </c>
      <c r="AH37" s="36">
        <v>0</v>
      </c>
      <c r="AI37" s="36">
        <v>0</v>
      </c>
      <c r="AJ37" s="37">
        <v>1</v>
      </c>
      <c r="AK37" s="67">
        <v>157.99858</v>
      </c>
      <c r="AL37" s="39">
        <v>158</v>
      </c>
      <c r="AM37" s="32">
        <v>316</v>
      </c>
      <c r="AN37" s="39"/>
      <c r="AO37" s="39"/>
      <c r="AP37" s="39"/>
      <c r="AQ37" s="50"/>
      <c r="AS37" s="1"/>
    </row>
    <row r="38" spans="1:45" s="26" customFormat="1">
      <c r="A38" s="29">
        <v>31</v>
      </c>
      <c r="B38" s="1">
        <v>31</v>
      </c>
      <c r="C38" s="40">
        <f t="shared" si="2"/>
        <v>31</v>
      </c>
      <c r="D38" s="40">
        <f t="shared" si="2"/>
        <v>31</v>
      </c>
      <c r="E38" s="1" t="s">
        <v>726</v>
      </c>
      <c r="F38" s="29" t="s">
        <v>66</v>
      </c>
      <c r="G38" s="29"/>
      <c r="H38" s="29">
        <v>153</v>
      </c>
      <c r="I38" s="29"/>
      <c r="J38" s="29"/>
      <c r="K38" s="29"/>
      <c r="L38" s="29"/>
      <c r="M38" s="32">
        <f t="shared" si="3"/>
        <v>153</v>
      </c>
      <c r="N38" s="32" t="s">
        <v>1330</v>
      </c>
      <c r="O38" s="32"/>
      <c r="P38" s="42">
        <f t="shared" si="4"/>
        <v>152.99680000000001</v>
      </c>
      <c r="Q38" s="32">
        <f t="shared" si="5"/>
        <v>1</v>
      </c>
      <c r="R38" s="32">
        <f t="shared" ca="1" si="6"/>
        <v>0</v>
      </c>
      <c r="S38" s="33" t="s">
        <v>89</v>
      </c>
      <c r="T38" s="34">
        <f t="shared" si="7"/>
        <v>0</v>
      </c>
      <c r="U38" s="34">
        <f t="shared" ca="1" si="8"/>
        <v>0</v>
      </c>
      <c r="V38" s="34">
        <f>-SUMPRODUCT((S$6:S37=S38)*(X$6:X37=X38))</f>
        <v>0</v>
      </c>
      <c r="W38" s="34">
        <f>-SUMPRODUCT((S$6:S37=S38)*(X$6:X37=X38)*(B$6:B37&lt;&gt;"NS"))</f>
        <v>0</v>
      </c>
      <c r="X38" s="35">
        <f t="shared" si="9"/>
        <v>153.15299999999999</v>
      </c>
      <c r="Y38" s="29">
        <v>153</v>
      </c>
      <c r="Z38" s="29"/>
      <c r="AA38" s="29"/>
      <c r="AB38" s="29"/>
      <c r="AC38" s="29"/>
      <c r="AD38" s="29"/>
      <c r="AF38" s="36">
        <v>0</v>
      </c>
      <c r="AG38" s="36">
        <v>0</v>
      </c>
      <c r="AH38" s="36">
        <v>0</v>
      </c>
      <c r="AI38" s="36">
        <v>0</v>
      </c>
      <c r="AJ38" s="37">
        <v>1</v>
      </c>
      <c r="AK38" s="67">
        <v>153.01220000000001</v>
      </c>
      <c r="AL38" s="39">
        <v>153</v>
      </c>
      <c r="AM38" s="32">
        <v>306</v>
      </c>
      <c r="AN38" s="39"/>
      <c r="AO38" s="39"/>
      <c r="AP38" s="39"/>
      <c r="AQ38" s="50"/>
      <c r="AS38" s="1"/>
    </row>
    <row r="39" spans="1:45" s="26" customFormat="1">
      <c r="A39" s="29">
        <v>32</v>
      </c>
      <c r="B39" s="1">
        <v>32</v>
      </c>
      <c r="C39" s="40">
        <f t="shared" si="2"/>
        <v>32</v>
      </c>
      <c r="D39" s="40">
        <f t="shared" si="2"/>
        <v>32</v>
      </c>
      <c r="E39" s="1" t="s">
        <v>727</v>
      </c>
      <c r="F39" s="29" t="s">
        <v>50</v>
      </c>
      <c r="G39" s="29">
        <v>127</v>
      </c>
      <c r="H39" s="29"/>
      <c r="I39" s="29"/>
      <c r="J39" s="29"/>
      <c r="K39" s="29"/>
      <c r="L39" s="29"/>
      <c r="M39" s="32">
        <f t="shared" si="3"/>
        <v>127</v>
      </c>
      <c r="N39" s="32" t="s">
        <v>1330</v>
      </c>
      <c r="O39" s="32"/>
      <c r="P39" s="42">
        <f t="shared" si="4"/>
        <v>126.9967</v>
      </c>
      <c r="Q39" s="32">
        <f t="shared" si="5"/>
        <v>1</v>
      </c>
      <c r="R39" s="32">
        <f t="shared" ca="1" si="6"/>
        <v>0</v>
      </c>
      <c r="S39" s="33" t="s">
        <v>89</v>
      </c>
      <c r="T39" s="34">
        <f t="shared" si="7"/>
        <v>0</v>
      </c>
      <c r="U39" s="34">
        <f t="shared" ca="1" si="8"/>
        <v>0</v>
      </c>
      <c r="V39" s="34">
        <f>-SUMPRODUCT((S$6:S38=S39)*(X$6:X38=X39))</f>
        <v>0</v>
      </c>
      <c r="W39" s="34">
        <f>-SUMPRODUCT((S$6:S38=S39)*(X$6:X38=X39)*(B$6:B38&lt;&gt;"NS"))</f>
        <v>0</v>
      </c>
      <c r="X39" s="35">
        <f t="shared" si="9"/>
        <v>127.127</v>
      </c>
      <c r="Y39" s="29">
        <v>127</v>
      </c>
      <c r="Z39" s="29"/>
      <c r="AA39" s="29"/>
      <c r="AB39" s="29"/>
      <c r="AC39" s="29"/>
      <c r="AD39" s="29"/>
      <c r="AF39" s="36">
        <v>0</v>
      </c>
      <c r="AG39" s="36">
        <v>0</v>
      </c>
      <c r="AH39" s="36">
        <v>0</v>
      </c>
      <c r="AI39" s="36">
        <v>0</v>
      </c>
      <c r="AJ39" s="37">
        <v>1</v>
      </c>
      <c r="AK39" s="67">
        <v>127.12379999999999</v>
      </c>
      <c r="AL39" s="39">
        <v>127</v>
      </c>
      <c r="AM39" s="32">
        <v>254</v>
      </c>
      <c r="AN39" s="39"/>
      <c r="AO39" s="39"/>
      <c r="AP39" s="39"/>
      <c r="AQ39" s="50"/>
      <c r="AS39" s="1"/>
    </row>
    <row r="40" spans="1:45" s="26" customFormat="1">
      <c r="A40" s="29">
        <v>33</v>
      </c>
      <c r="B40" s="1">
        <v>33</v>
      </c>
      <c r="C40" s="40">
        <f t="shared" si="2"/>
        <v>33</v>
      </c>
      <c r="D40" s="40">
        <f t="shared" si="2"/>
        <v>33</v>
      </c>
      <c r="E40" s="1" t="s">
        <v>728</v>
      </c>
      <c r="F40" s="29" t="s">
        <v>412</v>
      </c>
      <c r="G40" s="29"/>
      <c r="H40" s="29"/>
      <c r="I40" s="29">
        <v>120</v>
      </c>
      <c r="J40" s="29"/>
      <c r="K40" s="29"/>
      <c r="L40" s="29"/>
      <c r="M40" s="32">
        <f t="shared" si="3"/>
        <v>120</v>
      </c>
      <c r="N40" s="32" t="s">
        <v>1330</v>
      </c>
      <c r="O40" s="32"/>
      <c r="P40" s="42">
        <f t="shared" si="4"/>
        <v>119.9966</v>
      </c>
      <c r="Q40" s="32">
        <f t="shared" si="5"/>
        <v>1</v>
      </c>
      <c r="R40" s="32">
        <f t="shared" ca="1" si="6"/>
        <v>0</v>
      </c>
      <c r="S40" s="33" t="s">
        <v>89</v>
      </c>
      <c r="T40" s="34">
        <f t="shared" si="7"/>
        <v>0</v>
      </c>
      <c r="U40" s="34">
        <f t="shared" ca="1" si="8"/>
        <v>0</v>
      </c>
      <c r="V40" s="34">
        <f>-SUMPRODUCT((S$6:S39=S40)*(X$6:X39=X40))</f>
        <v>0</v>
      </c>
      <c r="W40" s="34">
        <f>-SUMPRODUCT((S$6:S39=S40)*(X$6:X39=X40)*(B$6:B39&lt;&gt;"NS"))</f>
        <v>0</v>
      </c>
      <c r="X40" s="35">
        <f t="shared" si="9"/>
        <v>120.12</v>
      </c>
      <c r="Y40" s="29">
        <v>120</v>
      </c>
      <c r="Z40" s="29"/>
      <c r="AA40" s="29"/>
      <c r="AB40" s="29"/>
      <c r="AC40" s="29"/>
      <c r="AD40" s="29"/>
      <c r="AF40" s="36">
        <v>0</v>
      </c>
      <c r="AG40" s="36">
        <v>0</v>
      </c>
      <c r="AH40" s="36">
        <v>0</v>
      </c>
      <c r="AI40" s="36">
        <v>0</v>
      </c>
      <c r="AJ40" s="37">
        <v>1</v>
      </c>
      <c r="AK40" s="67">
        <v>119.9979</v>
      </c>
      <c r="AL40" s="39">
        <v>120</v>
      </c>
      <c r="AM40" s="32">
        <v>240</v>
      </c>
      <c r="AN40" s="39"/>
      <c r="AO40" s="39"/>
      <c r="AP40" s="39"/>
      <c r="AQ40" s="50"/>
      <c r="AS40" s="1"/>
    </row>
    <row r="41" spans="1:45" s="26" customFormat="1">
      <c r="A41" s="29">
        <v>34</v>
      </c>
      <c r="B41" s="1">
        <v>34</v>
      </c>
      <c r="C41" s="40">
        <f t="shared" si="2"/>
        <v>34</v>
      </c>
      <c r="D41" s="40">
        <f t="shared" si="2"/>
        <v>34</v>
      </c>
      <c r="E41" s="1" t="s">
        <v>729</v>
      </c>
      <c r="F41" s="29" t="s">
        <v>57</v>
      </c>
      <c r="G41" s="29">
        <v>25</v>
      </c>
      <c r="H41" s="29"/>
      <c r="I41" s="29"/>
      <c r="J41" s="29">
        <v>86</v>
      </c>
      <c r="K41" s="29"/>
      <c r="L41" s="29"/>
      <c r="M41" s="32">
        <f t="shared" si="3"/>
        <v>111</v>
      </c>
      <c r="N41" s="32" t="s">
        <v>1330</v>
      </c>
      <c r="O41" s="32"/>
      <c r="P41" s="42">
        <f t="shared" si="4"/>
        <v>110.9965</v>
      </c>
      <c r="Q41" s="32">
        <f t="shared" si="5"/>
        <v>2</v>
      </c>
      <c r="R41" s="32">
        <f t="shared" ca="1" si="6"/>
        <v>0</v>
      </c>
      <c r="S41" s="33" t="s">
        <v>89</v>
      </c>
      <c r="T41" s="34">
        <f t="shared" si="7"/>
        <v>0</v>
      </c>
      <c r="U41" s="34">
        <f t="shared" ca="1" si="8"/>
        <v>0</v>
      </c>
      <c r="V41" s="34">
        <f>-SUMPRODUCT((S$6:S40=S41)*(X$6:X40=X41))</f>
        <v>0</v>
      </c>
      <c r="W41" s="34">
        <f>-SUMPRODUCT((S$6:S40=S41)*(X$6:X40=X41)*(B$6:B40&lt;&gt;"NS"))</f>
        <v>0</v>
      </c>
      <c r="X41" s="35">
        <f t="shared" si="9"/>
        <v>111.0885</v>
      </c>
      <c r="Y41" s="29">
        <v>86</v>
      </c>
      <c r="Z41" s="29">
        <v>25</v>
      </c>
      <c r="AA41" s="29"/>
      <c r="AB41" s="29"/>
      <c r="AC41" s="29"/>
      <c r="AD41" s="29"/>
      <c r="AF41" s="36">
        <v>0</v>
      </c>
      <c r="AG41" s="36">
        <v>0</v>
      </c>
      <c r="AH41" s="36">
        <v>0</v>
      </c>
      <c r="AI41" s="36">
        <v>0</v>
      </c>
      <c r="AJ41" s="37">
        <v>2</v>
      </c>
      <c r="AK41" s="67">
        <v>111.02246000000001</v>
      </c>
      <c r="AL41" s="39">
        <v>86</v>
      </c>
      <c r="AM41" s="32">
        <v>197</v>
      </c>
      <c r="AN41" s="39"/>
      <c r="AO41" s="39"/>
      <c r="AP41" s="39"/>
      <c r="AQ41" s="50"/>
      <c r="AS41" s="1"/>
    </row>
    <row r="42" spans="1:45" s="26" customFormat="1">
      <c r="A42" s="29">
        <v>35</v>
      </c>
      <c r="B42" s="1">
        <v>35</v>
      </c>
      <c r="C42" s="40" t="str">
        <f t="shared" si="2"/>
        <v xml:space="preserve">=35 </v>
      </c>
      <c r="D42" s="40" t="str">
        <f t="shared" si="2"/>
        <v xml:space="preserve">=35 </v>
      </c>
      <c r="E42" s="1" t="s">
        <v>730</v>
      </c>
      <c r="F42" s="29" t="s">
        <v>50</v>
      </c>
      <c r="G42" s="29"/>
      <c r="H42" s="29"/>
      <c r="I42" s="29"/>
      <c r="J42" s="29">
        <v>97</v>
      </c>
      <c r="K42" s="29"/>
      <c r="L42" s="29"/>
      <c r="M42" s="32">
        <f t="shared" si="3"/>
        <v>97</v>
      </c>
      <c r="N42" s="32" t="s">
        <v>1330</v>
      </c>
      <c r="O42" s="32"/>
      <c r="P42" s="42">
        <f t="shared" si="4"/>
        <v>96.996399999999994</v>
      </c>
      <c r="Q42" s="32">
        <f t="shared" si="5"/>
        <v>1</v>
      </c>
      <c r="R42" s="32">
        <f t="shared" ca="1" si="6"/>
        <v>0</v>
      </c>
      <c r="S42" s="33" t="s">
        <v>89</v>
      </c>
      <c r="T42" s="34">
        <f t="shared" si="7"/>
        <v>0</v>
      </c>
      <c r="U42" s="34">
        <f t="shared" ca="1" si="8"/>
        <v>0</v>
      </c>
      <c r="V42" s="34">
        <f>-SUMPRODUCT((S$6:S41=S42)*(X$6:X41=X42))</f>
        <v>0</v>
      </c>
      <c r="W42" s="34">
        <f>-SUMPRODUCT((S$6:S41=S42)*(X$6:X41=X42)*(B$6:B41&lt;&gt;"NS"))</f>
        <v>0</v>
      </c>
      <c r="X42" s="35">
        <f t="shared" si="9"/>
        <v>97.096999999999994</v>
      </c>
      <c r="Y42" s="29">
        <v>97</v>
      </c>
      <c r="Z42" s="29"/>
      <c r="AA42" s="29"/>
      <c r="AB42" s="29"/>
      <c r="AC42" s="29"/>
      <c r="AD42" s="29"/>
      <c r="AF42" s="36">
        <v>0</v>
      </c>
      <c r="AG42" s="36">
        <v>0</v>
      </c>
      <c r="AH42" s="36">
        <v>0</v>
      </c>
      <c r="AI42" s="36">
        <v>0</v>
      </c>
      <c r="AJ42" s="37">
        <v>1</v>
      </c>
      <c r="AK42" s="67">
        <v>96.997469999999993</v>
      </c>
      <c r="AL42" s="39">
        <v>97</v>
      </c>
      <c r="AM42" s="32">
        <v>194</v>
      </c>
      <c r="AN42" s="39"/>
      <c r="AO42" s="39"/>
      <c r="AP42" s="39"/>
      <c r="AQ42" s="50"/>
      <c r="AS42" s="1"/>
    </row>
    <row r="43" spans="1:45" s="26" customFormat="1">
      <c r="A43" s="29">
        <v>36</v>
      </c>
      <c r="B43" s="1">
        <v>36</v>
      </c>
      <c r="C43" s="40" t="str">
        <f t="shared" si="2"/>
        <v xml:space="preserve">=35 </v>
      </c>
      <c r="D43" s="40" t="str">
        <f t="shared" si="2"/>
        <v xml:space="preserve">=35 </v>
      </c>
      <c r="E43" s="1" t="s">
        <v>731</v>
      </c>
      <c r="F43" s="29" t="s">
        <v>61</v>
      </c>
      <c r="G43" s="29"/>
      <c r="H43" s="29"/>
      <c r="I43" s="29">
        <v>97</v>
      </c>
      <c r="J43" s="29"/>
      <c r="K43" s="29"/>
      <c r="L43" s="29"/>
      <c r="M43" s="32">
        <f t="shared" si="3"/>
        <v>97</v>
      </c>
      <c r="N43" s="32" t="s">
        <v>1330</v>
      </c>
      <c r="O43" s="32"/>
      <c r="P43" s="42">
        <f t="shared" si="4"/>
        <v>96.996300000000005</v>
      </c>
      <c r="Q43" s="32">
        <f t="shared" si="5"/>
        <v>1</v>
      </c>
      <c r="R43" s="32">
        <f t="shared" ca="1" si="6"/>
        <v>0</v>
      </c>
      <c r="S43" s="33" t="s">
        <v>89</v>
      </c>
      <c r="T43" s="34">
        <f t="shared" si="7"/>
        <v>0</v>
      </c>
      <c r="U43" s="34">
        <f t="shared" ca="1" si="8"/>
        <v>0</v>
      </c>
      <c r="V43" s="34">
        <f>-SUMPRODUCT((S$6:S42=S43)*(X$6:X42=X43))</f>
        <v>-1</v>
      </c>
      <c r="W43" s="34">
        <f>-SUMPRODUCT((S$6:S42=S43)*(X$6:X42=X43)*(B$6:B42&lt;&gt;"NS"))</f>
        <v>-1</v>
      </c>
      <c r="X43" s="35">
        <f t="shared" si="9"/>
        <v>97.096999999999994</v>
      </c>
      <c r="Y43" s="29">
        <v>97</v>
      </c>
      <c r="Z43" s="29"/>
      <c r="AA43" s="29"/>
      <c r="AB43" s="29"/>
      <c r="AC43" s="29"/>
      <c r="AD43" s="29"/>
      <c r="AF43" s="36">
        <v>0</v>
      </c>
      <c r="AG43" s="36">
        <v>0</v>
      </c>
      <c r="AH43" s="36">
        <v>0</v>
      </c>
      <c r="AI43" s="36">
        <v>0</v>
      </c>
      <c r="AJ43" s="37">
        <v>1</v>
      </c>
      <c r="AK43" s="67">
        <v>96.997369999999989</v>
      </c>
      <c r="AL43" s="39">
        <v>97</v>
      </c>
      <c r="AM43" s="32">
        <v>194</v>
      </c>
      <c r="AN43" s="39"/>
      <c r="AO43" s="39"/>
      <c r="AP43" s="39"/>
      <c r="AQ43" s="50"/>
      <c r="AS43" s="1"/>
    </row>
    <row r="44" spans="1:45" s="26" customFormat="1">
      <c r="A44" s="29">
        <v>37</v>
      </c>
      <c r="B44" s="1">
        <v>37</v>
      </c>
      <c r="C44" s="40">
        <f t="shared" si="2"/>
        <v>37</v>
      </c>
      <c r="D44" s="40">
        <f t="shared" si="2"/>
        <v>37</v>
      </c>
      <c r="E44" s="1" t="s">
        <v>732</v>
      </c>
      <c r="F44" s="29" t="s">
        <v>88</v>
      </c>
      <c r="G44" s="29">
        <v>82</v>
      </c>
      <c r="H44" s="29"/>
      <c r="I44" s="29"/>
      <c r="J44" s="29"/>
      <c r="K44" s="29"/>
      <c r="L44" s="29"/>
      <c r="M44" s="32">
        <f t="shared" si="3"/>
        <v>82</v>
      </c>
      <c r="N44" s="32" t="s">
        <v>1330</v>
      </c>
      <c r="O44" s="32"/>
      <c r="P44" s="42">
        <f t="shared" si="4"/>
        <v>81.996200000000002</v>
      </c>
      <c r="Q44" s="32">
        <f t="shared" si="5"/>
        <v>1</v>
      </c>
      <c r="R44" s="32">
        <f t="shared" ca="1" si="6"/>
        <v>0</v>
      </c>
      <c r="S44" s="33" t="s">
        <v>89</v>
      </c>
      <c r="T44" s="34">
        <f t="shared" si="7"/>
        <v>0</v>
      </c>
      <c r="U44" s="34">
        <f t="shared" ca="1" si="8"/>
        <v>0</v>
      </c>
      <c r="V44" s="34">
        <f>-SUMPRODUCT((S$6:S43=S44)*(X$6:X43=X44))</f>
        <v>0</v>
      </c>
      <c r="W44" s="34">
        <f>-SUMPRODUCT((S$6:S43=S44)*(X$6:X43=X44)*(B$6:B43&lt;&gt;"NS"))</f>
        <v>0</v>
      </c>
      <c r="X44" s="35">
        <f t="shared" si="9"/>
        <v>82.081999999999994</v>
      </c>
      <c r="Y44" s="29">
        <v>82</v>
      </c>
      <c r="Z44" s="29"/>
      <c r="AA44" s="29"/>
      <c r="AB44" s="29"/>
      <c r="AC44" s="29"/>
      <c r="AD44" s="29"/>
      <c r="AF44" s="36">
        <v>0</v>
      </c>
      <c r="AG44" s="36">
        <v>0</v>
      </c>
      <c r="AH44" s="36">
        <v>0</v>
      </c>
      <c r="AI44" s="36">
        <v>0</v>
      </c>
      <c r="AJ44" s="37">
        <v>1</v>
      </c>
      <c r="AK44" s="67">
        <v>82.078199999999995</v>
      </c>
      <c r="AL44" s="39">
        <v>82</v>
      </c>
      <c r="AM44" s="32">
        <v>164</v>
      </c>
      <c r="AN44" s="39"/>
      <c r="AO44" s="39"/>
      <c r="AP44" s="39"/>
      <c r="AQ44" s="50"/>
      <c r="AS44" s="1"/>
    </row>
    <row r="45" spans="1:45" s="26" customFormat="1">
      <c r="A45" s="29">
        <v>38</v>
      </c>
      <c r="B45" s="1" t="s">
        <v>111</v>
      </c>
      <c r="C45" s="40">
        <f t="shared" si="2"/>
        <v>38</v>
      </c>
      <c r="D45" s="40" t="str">
        <f t="shared" si="2"/>
        <v>NS</v>
      </c>
      <c r="E45" s="1" t="s">
        <v>733</v>
      </c>
      <c r="F45" s="29" t="s">
        <v>201</v>
      </c>
      <c r="G45" s="29">
        <v>16</v>
      </c>
      <c r="H45" s="29">
        <v>61</v>
      </c>
      <c r="I45" s="29"/>
      <c r="J45" s="29"/>
      <c r="K45" s="29"/>
      <c r="L45" s="29"/>
      <c r="M45" s="32">
        <f t="shared" si="3"/>
        <v>77</v>
      </c>
      <c r="N45" s="32" t="s">
        <v>1331</v>
      </c>
      <c r="O45" s="32"/>
      <c r="P45" s="42">
        <f t="shared" si="4"/>
        <v>76.996099999999998</v>
      </c>
      <c r="Q45" s="32">
        <f t="shared" si="5"/>
        <v>2</v>
      </c>
      <c r="R45" s="32">
        <f t="shared" ca="1" si="6"/>
        <v>0</v>
      </c>
      <c r="S45" s="33" t="s">
        <v>89</v>
      </c>
      <c r="T45" s="34">
        <f t="shared" si="7"/>
        <v>0</v>
      </c>
      <c r="U45" s="34">
        <f t="shared" ca="1" si="8"/>
        <v>0</v>
      </c>
      <c r="V45" s="34">
        <f>-SUMPRODUCT((S$6:S44=S45)*(X$6:X44=X45))</f>
        <v>0</v>
      </c>
      <c r="W45" s="34">
        <f>-SUMPRODUCT((S$6:S44=S45)*(X$6:X44=X45)*(B$6:B44&lt;&gt;"NS"))</f>
        <v>0</v>
      </c>
      <c r="X45" s="35">
        <f t="shared" si="9"/>
        <v>77.062600000000003</v>
      </c>
      <c r="Y45" s="29">
        <v>61</v>
      </c>
      <c r="Z45" s="29">
        <v>16</v>
      </c>
      <c r="AA45" s="29"/>
      <c r="AB45" s="29"/>
      <c r="AC45" s="29"/>
      <c r="AD45" s="29"/>
      <c r="AF45" s="36">
        <v>0</v>
      </c>
      <c r="AG45" s="36">
        <v>0</v>
      </c>
      <c r="AH45" s="36">
        <v>0</v>
      </c>
      <c r="AI45" s="36">
        <v>0</v>
      </c>
      <c r="AJ45" s="37">
        <v>2</v>
      </c>
      <c r="AK45" s="67">
        <v>77.018200000000007</v>
      </c>
      <c r="AL45" s="39">
        <v>61</v>
      </c>
      <c r="AM45" s="32">
        <v>0</v>
      </c>
      <c r="AN45" s="39"/>
      <c r="AO45" s="39"/>
      <c r="AP45" s="39"/>
      <c r="AQ45" s="50"/>
      <c r="AS45" s="1"/>
    </row>
    <row r="46" spans="1:45" s="26" customFormat="1">
      <c r="A46" s="29">
        <v>39</v>
      </c>
      <c r="B46" s="1">
        <v>38</v>
      </c>
      <c r="C46" s="40">
        <f t="shared" si="2"/>
        <v>39</v>
      </c>
      <c r="D46" s="40">
        <f t="shared" si="2"/>
        <v>38</v>
      </c>
      <c r="E46" s="1" t="s">
        <v>734</v>
      </c>
      <c r="F46" s="29" t="s">
        <v>118</v>
      </c>
      <c r="G46" s="29"/>
      <c r="H46" s="29"/>
      <c r="I46" s="29">
        <v>61</v>
      </c>
      <c r="J46" s="29"/>
      <c r="K46" s="29"/>
      <c r="L46" s="29"/>
      <c r="M46" s="32">
        <f t="shared" si="3"/>
        <v>61</v>
      </c>
      <c r="N46" s="32" t="s">
        <v>1330</v>
      </c>
      <c r="O46" s="32"/>
      <c r="P46" s="42">
        <f t="shared" si="4"/>
        <v>60.996000000000002</v>
      </c>
      <c r="Q46" s="32">
        <f t="shared" si="5"/>
        <v>1</v>
      </c>
      <c r="R46" s="32">
        <f t="shared" ca="1" si="6"/>
        <v>0</v>
      </c>
      <c r="S46" s="33" t="s">
        <v>89</v>
      </c>
      <c r="T46" s="34">
        <f t="shared" si="7"/>
        <v>0</v>
      </c>
      <c r="U46" s="34">
        <f t="shared" ca="1" si="8"/>
        <v>0</v>
      </c>
      <c r="V46" s="34">
        <f>-SUMPRODUCT((S$6:S45=S46)*(X$6:X45=X46))</f>
        <v>0</v>
      </c>
      <c r="W46" s="34">
        <f>-SUMPRODUCT((S$6:S45=S46)*(X$6:X45=X46)*(B$6:B45&lt;&gt;"NS"))</f>
        <v>0</v>
      </c>
      <c r="X46" s="35">
        <f t="shared" si="9"/>
        <v>61.061</v>
      </c>
      <c r="Y46" s="29">
        <v>61</v>
      </c>
      <c r="Z46" s="29"/>
      <c r="AA46" s="29"/>
      <c r="AB46" s="29"/>
      <c r="AC46" s="29"/>
      <c r="AD46" s="29"/>
      <c r="AF46" s="36">
        <v>0</v>
      </c>
      <c r="AG46" s="36">
        <v>0</v>
      </c>
      <c r="AH46" s="36">
        <v>0</v>
      </c>
      <c r="AI46" s="36">
        <v>0</v>
      </c>
      <c r="AJ46" s="37">
        <v>1</v>
      </c>
      <c r="AK46" s="67">
        <v>60.996610000000004</v>
      </c>
      <c r="AL46" s="39">
        <v>61</v>
      </c>
      <c r="AM46" s="32">
        <v>122</v>
      </c>
      <c r="AN46" s="39"/>
      <c r="AO46" s="39"/>
      <c r="AP46" s="39"/>
      <c r="AQ46" s="50"/>
      <c r="AS46" s="1"/>
    </row>
    <row r="47" spans="1:45" ht="5.0999999999999996" customHeight="1">
      <c r="A47" s="27"/>
      <c r="B47" s="27"/>
      <c r="C47" s="27"/>
      <c r="D47" s="1"/>
      <c r="F47" s="52"/>
      <c r="G47" s="27"/>
      <c r="H47" s="29"/>
      <c r="I47" s="29"/>
      <c r="J47" s="29"/>
      <c r="K47" s="29"/>
      <c r="L47" s="29"/>
      <c r="M47" s="32"/>
      <c r="N47" s="27"/>
      <c r="O47" s="27"/>
      <c r="P47" s="42"/>
      <c r="Q47" s="27"/>
      <c r="R47" s="27"/>
      <c r="T47" s="59"/>
      <c r="U47" s="34">
        <f t="shared" ca="1" si="8"/>
        <v>0</v>
      </c>
      <c r="V47" s="59"/>
      <c r="W47" s="59"/>
      <c r="X47" s="34"/>
      <c r="Y47" s="52"/>
      <c r="Z47" s="52"/>
      <c r="AA47" s="52"/>
      <c r="AB47" s="52"/>
      <c r="AC47" s="52"/>
      <c r="AD47" s="52"/>
      <c r="AJ47" s="63"/>
      <c r="AK47" s="63"/>
      <c r="AM47" s="26"/>
      <c r="AN47" s="39"/>
      <c r="AO47" s="39"/>
      <c r="AP47" s="39"/>
      <c r="AQ47" s="30"/>
      <c r="AR47" s="26"/>
      <c r="AS47" s="1"/>
    </row>
    <row r="48" spans="1:45">
      <c r="A48" s="27"/>
      <c r="B48" s="27"/>
      <c r="C48" s="27"/>
      <c r="D48" s="1"/>
      <c r="F48" s="27"/>
      <c r="G48" s="27"/>
      <c r="H48" s="29"/>
      <c r="I48" s="29"/>
      <c r="J48" s="29"/>
      <c r="K48" s="29"/>
      <c r="L48" s="29"/>
      <c r="M48" s="32"/>
      <c r="N48" s="27"/>
      <c r="O48" s="27"/>
      <c r="P48" s="42"/>
      <c r="Q48" s="27"/>
      <c r="R48" s="27"/>
      <c r="T48" s="59"/>
      <c r="U48" s="34"/>
      <c r="V48" s="59"/>
      <c r="W48" s="59"/>
      <c r="X48" s="34"/>
      <c r="Y48" s="52"/>
      <c r="Z48" s="52"/>
      <c r="AA48" s="52"/>
      <c r="AB48" s="52"/>
      <c r="AC48" s="52"/>
      <c r="AD48" s="52"/>
      <c r="AJ48" s="63"/>
      <c r="AK48" s="63"/>
      <c r="AM48" s="26"/>
      <c r="AN48" s="39"/>
      <c r="AO48" s="39"/>
      <c r="AP48" s="39"/>
      <c r="AQ48" s="30"/>
      <c r="AR48" s="26"/>
      <c r="AS48" s="1"/>
    </row>
    <row r="49" spans="1:45">
      <c r="D49" s="1"/>
      <c r="E49" s="26" t="s">
        <v>109</v>
      </c>
      <c r="F49" s="27"/>
      <c r="G49" s="27"/>
      <c r="H49" s="29"/>
      <c r="I49" s="29"/>
      <c r="J49" s="29"/>
      <c r="K49" s="29"/>
      <c r="L49" s="29"/>
      <c r="M49" s="32"/>
      <c r="N49" s="27"/>
      <c r="O49" s="27"/>
      <c r="P49" s="42"/>
      <c r="Q49" s="27"/>
      <c r="R49" s="27"/>
      <c r="S49" s="52" t="str">
        <f>E49</f>
        <v>F35</v>
      </c>
      <c r="T49" s="59"/>
      <c r="U49" s="34"/>
      <c r="V49" s="59"/>
      <c r="W49" s="59"/>
      <c r="X49" s="34"/>
      <c r="Y49" s="52"/>
      <c r="Z49" s="52"/>
      <c r="AA49" s="52"/>
      <c r="AB49" s="52"/>
      <c r="AC49" s="52"/>
      <c r="AD49" s="52"/>
      <c r="AJ49" s="63"/>
      <c r="AK49" s="63"/>
      <c r="AM49" s="26"/>
      <c r="AN49" s="39">
        <v>590</v>
      </c>
      <c r="AO49" s="39">
        <v>573</v>
      </c>
      <c r="AP49" s="39">
        <v>562</v>
      </c>
      <c r="AQ49" s="30"/>
      <c r="AR49" s="26"/>
      <c r="AS49" s="1"/>
    </row>
    <row r="50" spans="1:45">
      <c r="A50" s="1">
        <v>1</v>
      </c>
      <c r="B50" s="1">
        <v>1</v>
      </c>
      <c r="C50" s="40">
        <f t="shared" ref="C50:D79" si="10">IF(OR(V50&lt;0,V51&lt;0),"="&amp;A50+V50&amp;" ",A50)</f>
        <v>1</v>
      </c>
      <c r="D50" s="40">
        <f t="shared" si="10"/>
        <v>1</v>
      </c>
      <c r="E50" s="1" t="s">
        <v>108</v>
      </c>
      <c r="F50" s="29" t="s">
        <v>38</v>
      </c>
      <c r="G50" s="29">
        <v>198</v>
      </c>
      <c r="H50" s="29">
        <v>196</v>
      </c>
      <c r="I50" s="29"/>
      <c r="J50" s="29">
        <v>196</v>
      </c>
      <c r="K50" s="29">
        <v>199</v>
      </c>
      <c r="L50" s="29"/>
      <c r="M50" s="32">
        <f t="shared" ref="M50:M79" si="11">IFERROR(LARGE(G50:L50,1),0)+IF($F$5&gt;=2,IFERROR(LARGE(G50:L50,2),0),0)+IF($F$5&gt;=3,IFERROR(LARGE(G50:L50,3),0),0)+IF($F$5&gt;=4,IFERROR(LARGE(G50:L50,4),0),0)+IF($F$5&gt;=5,IFERROR(LARGE(G50:L50,5),0),0)+IF($F$5&gt;=6,IFERROR(LARGE(G50:L50,6),0),0)</f>
        <v>593</v>
      </c>
      <c r="N50" s="32" t="s">
        <v>1330</v>
      </c>
      <c r="O50" s="32" t="s">
        <v>735</v>
      </c>
      <c r="P50" s="42">
        <f t="shared" ref="P50:P79" si="12">M50-(ROW(M50)-ROW(M$6))/10000</f>
        <v>592.99559999999997</v>
      </c>
      <c r="Q50" s="32">
        <f t="shared" ref="Q50:Q79" si="13">COUNT(G50:L50)</f>
        <v>4</v>
      </c>
      <c r="R50" s="32">
        <f t="shared" ref="R50:R79" ca="1" si="14">IF(AND(Q50=1,OFFSET(F50,0,R$3)&gt;0),"Y",0)</f>
        <v>0</v>
      </c>
      <c r="S50" s="33" t="s">
        <v>109</v>
      </c>
      <c r="T50" s="34">
        <f t="shared" ref="T50:T79" si="15">1-(S50=S49)</f>
        <v>0</v>
      </c>
      <c r="U50" s="34">
        <f t="shared" ref="U50:U79" ca="1" si="16">OFFSET(F50,0,$R$3)</f>
        <v>199</v>
      </c>
      <c r="V50" s="34">
        <f>-SUMPRODUCT((S$6:S49=S50)*(X$6:X49=X50))</f>
        <v>0</v>
      </c>
      <c r="W50" s="34">
        <f>-SUMPRODUCT((S$6:S49=S50)*(X$6:X49=X50)*(B$6:B49&lt;&gt;"NS"))</f>
        <v>0</v>
      </c>
      <c r="X50" s="35">
        <f t="shared" ref="X50:X79" si="17">M50+SUMPRODUCT(Y$4:AD$4,Y50:AD50)</f>
        <v>593.22076000000004</v>
      </c>
      <c r="Y50" s="29">
        <v>199</v>
      </c>
      <c r="Z50" s="29">
        <v>198</v>
      </c>
      <c r="AA50" s="29">
        <v>196</v>
      </c>
      <c r="AB50" s="29">
        <v>196</v>
      </c>
      <c r="AC50" s="29"/>
      <c r="AD50" s="29"/>
      <c r="AF50" s="36">
        <v>0</v>
      </c>
      <c r="AG50" s="36">
        <v>0</v>
      </c>
      <c r="AH50" s="36">
        <v>0</v>
      </c>
      <c r="AI50" s="36">
        <v>0</v>
      </c>
      <c r="AJ50" s="37">
        <v>3</v>
      </c>
      <c r="AK50" s="67">
        <v>590.21515999999997</v>
      </c>
      <c r="AL50" s="39">
        <v>198</v>
      </c>
      <c r="AM50" s="32">
        <v>592</v>
      </c>
      <c r="AN50" s="39" t="s">
        <v>735</v>
      </c>
      <c r="AO50" s="39"/>
      <c r="AP50" s="39"/>
      <c r="AQ50" s="30"/>
      <c r="AR50" s="26"/>
      <c r="AS50" s="1"/>
    </row>
    <row r="51" spans="1:45">
      <c r="A51" s="1">
        <v>2</v>
      </c>
      <c r="B51" s="1">
        <v>2</v>
      </c>
      <c r="C51" s="40">
        <f t="shared" si="10"/>
        <v>2</v>
      </c>
      <c r="D51" s="40">
        <f t="shared" si="10"/>
        <v>2</v>
      </c>
      <c r="E51" s="1" t="s">
        <v>142</v>
      </c>
      <c r="F51" s="29" t="s">
        <v>88</v>
      </c>
      <c r="G51" s="29">
        <v>192</v>
      </c>
      <c r="H51" s="29">
        <v>187</v>
      </c>
      <c r="I51" s="29">
        <v>193</v>
      </c>
      <c r="J51" s="29">
        <v>188</v>
      </c>
      <c r="K51" s="29">
        <v>194</v>
      </c>
      <c r="L51" s="29"/>
      <c r="M51" s="32">
        <f t="shared" si="11"/>
        <v>579</v>
      </c>
      <c r="N51" s="32" t="s">
        <v>1330</v>
      </c>
      <c r="O51" s="32" t="s">
        <v>736</v>
      </c>
      <c r="P51" s="42">
        <f t="shared" si="12"/>
        <v>578.99549999999999</v>
      </c>
      <c r="Q51" s="32">
        <f t="shared" si="13"/>
        <v>5</v>
      </c>
      <c r="R51" s="32">
        <f t="shared" ca="1" si="14"/>
        <v>0</v>
      </c>
      <c r="S51" s="33" t="s">
        <v>109</v>
      </c>
      <c r="T51" s="34">
        <f t="shared" si="15"/>
        <v>0</v>
      </c>
      <c r="U51" s="34">
        <f t="shared" ca="1" si="16"/>
        <v>194</v>
      </c>
      <c r="V51" s="34">
        <f>-SUMPRODUCT((S$6:S50=S51)*(X$6:X50=X51))</f>
        <v>0</v>
      </c>
      <c r="W51" s="34">
        <f>-SUMPRODUCT((S$6:S50=S51)*(X$6:X50=X51)*(B$6:B50&lt;&gt;"NS"))</f>
        <v>0</v>
      </c>
      <c r="X51" s="35">
        <f t="shared" si="17"/>
        <v>579.21522000000004</v>
      </c>
      <c r="Y51" s="29">
        <v>194</v>
      </c>
      <c r="Z51" s="29">
        <v>193</v>
      </c>
      <c r="AA51" s="29">
        <v>192</v>
      </c>
      <c r="AB51" s="29">
        <v>188</v>
      </c>
      <c r="AC51" s="29">
        <v>187</v>
      </c>
      <c r="AD51" s="29"/>
      <c r="AF51" s="36">
        <v>0</v>
      </c>
      <c r="AG51" s="36">
        <v>0</v>
      </c>
      <c r="AH51" s="36">
        <v>0</v>
      </c>
      <c r="AI51" s="36">
        <v>0</v>
      </c>
      <c r="AJ51" s="37">
        <v>4</v>
      </c>
      <c r="AK51" s="67">
        <v>573.20831799999996</v>
      </c>
      <c r="AL51" s="39">
        <v>193</v>
      </c>
      <c r="AM51" s="32">
        <v>578</v>
      </c>
      <c r="AN51" s="39"/>
      <c r="AO51" s="39" t="s">
        <v>736</v>
      </c>
      <c r="AP51" s="39"/>
      <c r="AQ51" s="30"/>
      <c r="AR51" s="26"/>
      <c r="AS51" s="1"/>
    </row>
    <row r="52" spans="1:45">
      <c r="A52" s="1">
        <v>3</v>
      </c>
      <c r="B52" s="1">
        <v>3</v>
      </c>
      <c r="C52" s="40">
        <f t="shared" si="10"/>
        <v>3</v>
      </c>
      <c r="D52" s="40">
        <f t="shared" si="10"/>
        <v>3</v>
      </c>
      <c r="E52" s="1" t="s">
        <v>188</v>
      </c>
      <c r="F52" s="29" t="s">
        <v>19</v>
      </c>
      <c r="G52" s="29">
        <v>190</v>
      </c>
      <c r="H52" s="29">
        <v>189</v>
      </c>
      <c r="I52" s="29">
        <v>183</v>
      </c>
      <c r="J52" s="29">
        <v>182</v>
      </c>
      <c r="K52" s="29">
        <v>185</v>
      </c>
      <c r="L52" s="29"/>
      <c r="M52" s="32">
        <f t="shared" si="11"/>
        <v>564</v>
      </c>
      <c r="N52" s="32" t="s">
        <v>1330</v>
      </c>
      <c r="O52" s="32" t="s">
        <v>737</v>
      </c>
      <c r="P52" s="42">
        <f t="shared" si="12"/>
        <v>563.99540000000002</v>
      </c>
      <c r="Q52" s="32">
        <f t="shared" si="13"/>
        <v>5</v>
      </c>
      <c r="R52" s="32">
        <f t="shared" ca="1" si="14"/>
        <v>0</v>
      </c>
      <c r="S52" s="33" t="s">
        <v>109</v>
      </c>
      <c r="T52" s="34">
        <f t="shared" si="15"/>
        <v>0</v>
      </c>
      <c r="U52" s="34">
        <f t="shared" ca="1" si="16"/>
        <v>185</v>
      </c>
      <c r="V52" s="34">
        <f>-SUMPRODUCT((S$6:S51=S52)*(X$6:X51=X52))</f>
        <v>0</v>
      </c>
      <c r="W52" s="34">
        <f>-SUMPRODUCT((S$6:S51=S52)*(X$6:X51=X52)*(B$6:B51&lt;&gt;"NS"))</f>
        <v>0</v>
      </c>
      <c r="X52" s="35">
        <f t="shared" si="17"/>
        <v>564.21074999999996</v>
      </c>
      <c r="Y52" s="29">
        <v>190</v>
      </c>
      <c r="Z52" s="29">
        <v>189</v>
      </c>
      <c r="AA52" s="29">
        <v>185</v>
      </c>
      <c r="AB52" s="29">
        <v>183</v>
      </c>
      <c r="AC52" s="29">
        <v>182</v>
      </c>
      <c r="AD52" s="29"/>
      <c r="AF52" s="36">
        <v>0</v>
      </c>
      <c r="AG52" s="36">
        <v>0</v>
      </c>
      <c r="AH52" s="36">
        <v>0</v>
      </c>
      <c r="AI52" s="36">
        <v>0</v>
      </c>
      <c r="AJ52" s="37">
        <v>4</v>
      </c>
      <c r="AK52" s="67">
        <v>562.20631200000014</v>
      </c>
      <c r="AL52" s="39">
        <v>190</v>
      </c>
      <c r="AM52" s="32">
        <v>569</v>
      </c>
      <c r="AN52" s="39"/>
      <c r="AO52" s="39"/>
      <c r="AP52" s="39" t="s">
        <v>737</v>
      </c>
      <c r="AQ52" s="30"/>
      <c r="AR52" s="26"/>
      <c r="AS52" s="1"/>
    </row>
    <row r="53" spans="1:45">
      <c r="A53" s="1">
        <v>4</v>
      </c>
      <c r="B53" s="1">
        <v>4</v>
      </c>
      <c r="C53" s="40">
        <f t="shared" si="10"/>
        <v>4</v>
      </c>
      <c r="D53" s="40">
        <f t="shared" si="10"/>
        <v>4</v>
      </c>
      <c r="E53" s="1" t="s">
        <v>738</v>
      </c>
      <c r="F53" s="29" t="s">
        <v>66</v>
      </c>
      <c r="G53" s="29">
        <v>170</v>
      </c>
      <c r="H53" s="29">
        <v>174</v>
      </c>
      <c r="I53" s="29">
        <v>175</v>
      </c>
      <c r="J53" s="29"/>
      <c r="K53" s="29"/>
      <c r="L53" s="29"/>
      <c r="M53" s="32">
        <f t="shared" si="11"/>
        <v>519</v>
      </c>
      <c r="N53" s="32" t="s">
        <v>1330</v>
      </c>
      <c r="O53" s="32"/>
      <c r="P53" s="42">
        <f t="shared" si="12"/>
        <v>518.99530000000004</v>
      </c>
      <c r="Q53" s="32">
        <f t="shared" si="13"/>
        <v>3</v>
      </c>
      <c r="R53" s="32">
        <f t="shared" ca="1" si="14"/>
        <v>0</v>
      </c>
      <c r="S53" s="33" t="s">
        <v>109</v>
      </c>
      <c r="T53" s="34">
        <f t="shared" si="15"/>
        <v>0</v>
      </c>
      <c r="U53" s="34">
        <f t="shared" ca="1" si="16"/>
        <v>0</v>
      </c>
      <c r="V53" s="34">
        <f>-SUMPRODUCT((S$6:S52=S53)*(X$6:X52=X53))</f>
        <v>0</v>
      </c>
      <c r="W53" s="34">
        <f>-SUMPRODUCT((S$6:S52=S53)*(X$6:X52=X53)*(B$6:B52&lt;&gt;"NS"))</f>
        <v>0</v>
      </c>
      <c r="X53" s="35">
        <f t="shared" si="17"/>
        <v>519.19410000000005</v>
      </c>
      <c r="Y53" s="29">
        <v>175</v>
      </c>
      <c r="Z53" s="29">
        <v>174</v>
      </c>
      <c r="AA53" s="29">
        <v>170</v>
      </c>
      <c r="AB53" s="29"/>
      <c r="AC53" s="29"/>
      <c r="AD53" s="29"/>
      <c r="AF53" s="36">
        <v>0</v>
      </c>
      <c r="AG53" s="36">
        <v>0</v>
      </c>
      <c r="AH53" s="36">
        <v>0</v>
      </c>
      <c r="AI53" s="36">
        <v>0</v>
      </c>
      <c r="AJ53" s="37">
        <v>3</v>
      </c>
      <c r="AK53" s="67">
        <v>519.18444999999997</v>
      </c>
      <c r="AL53" s="39">
        <v>175</v>
      </c>
      <c r="AM53" s="32">
        <v>524</v>
      </c>
      <c r="AN53" s="39"/>
      <c r="AO53" s="39"/>
      <c r="AP53" s="39"/>
      <c r="AQ53" s="30"/>
      <c r="AR53" s="26"/>
      <c r="AS53" s="1"/>
    </row>
    <row r="54" spans="1:45">
      <c r="A54" s="1">
        <v>5</v>
      </c>
      <c r="B54" s="1">
        <v>5</v>
      </c>
      <c r="C54" s="40">
        <f t="shared" si="10"/>
        <v>5</v>
      </c>
      <c r="D54" s="40">
        <f t="shared" si="10"/>
        <v>5</v>
      </c>
      <c r="E54" s="1" t="s">
        <v>210</v>
      </c>
      <c r="F54" s="29" t="s">
        <v>61</v>
      </c>
      <c r="G54" s="29">
        <v>155</v>
      </c>
      <c r="H54" s="29"/>
      <c r="I54" s="29"/>
      <c r="J54" s="29">
        <v>173</v>
      </c>
      <c r="K54" s="29">
        <v>181</v>
      </c>
      <c r="L54" s="29"/>
      <c r="M54" s="32">
        <f t="shared" si="11"/>
        <v>509</v>
      </c>
      <c r="N54" s="32" t="s">
        <v>1330</v>
      </c>
      <c r="O54" s="32"/>
      <c r="P54" s="42">
        <f t="shared" si="12"/>
        <v>508.99520000000001</v>
      </c>
      <c r="Q54" s="32">
        <f t="shared" si="13"/>
        <v>3</v>
      </c>
      <c r="R54" s="32">
        <f t="shared" ca="1" si="14"/>
        <v>0</v>
      </c>
      <c r="S54" s="33" t="s">
        <v>109</v>
      </c>
      <c r="T54" s="34">
        <f t="shared" si="15"/>
        <v>0</v>
      </c>
      <c r="U54" s="34">
        <f t="shared" ca="1" si="16"/>
        <v>181</v>
      </c>
      <c r="V54" s="34">
        <f>-SUMPRODUCT((S$6:S53=S54)*(X$6:X53=X54))</f>
        <v>0</v>
      </c>
      <c r="W54" s="34">
        <f>-SUMPRODUCT((S$6:S53=S54)*(X$6:X53=X54)*(B$6:B53&lt;&gt;"NS"))</f>
        <v>0</v>
      </c>
      <c r="X54" s="35">
        <f t="shared" si="17"/>
        <v>509.19985000000003</v>
      </c>
      <c r="Y54" s="29">
        <v>181</v>
      </c>
      <c r="Z54" s="29">
        <v>173</v>
      </c>
      <c r="AA54" s="29">
        <v>155</v>
      </c>
      <c r="AB54" s="29"/>
      <c r="AC54" s="29"/>
      <c r="AD54" s="29"/>
      <c r="AF54" s="36">
        <v>0</v>
      </c>
      <c r="AG54" s="36">
        <v>0</v>
      </c>
      <c r="AH54" s="36">
        <v>0</v>
      </c>
      <c r="AI54" s="36">
        <v>0</v>
      </c>
      <c r="AJ54" s="37">
        <v>2</v>
      </c>
      <c r="AK54" s="67">
        <v>328.15132999999997</v>
      </c>
      <c r="AL54" s="39">
        <v>173</v>
      </c>
      <c r="AM54" s="32">
        <v>501</v>
      </c>
      <c r="AN54" s="39"/>
      <c r="AO54" s="39"/>
      <c r="AP54" s="39"/>
      <c r="AQ54" s="30"/>
      <c r="AR54" s="26"/>
      <c r="AS54" s="1"/>
    </row>
    <row r="55" spans="1:45">
      <c r="A55" s="1">
        <v>6</v>
      </c>
      <c r="B55" s="1">
        <v>6</v>
      </c>
      <c r="C55" s="40">
        <f t="shared" si="10"/>
        <v>6</v>
      </c>
      <c r="D55" s="40">
        <f t="shared" si="10"/>
        <v>6</v>
      </c>
      <c r="E55" s="1" t="s">
        <v>739</v>
      </c>
      <c r="F55" s="29" t="s">
        <v>38</v>
      </c>
      <c r="G55" s="29">
        <v>148</v>
      </c>
      <c r="H55" s="29"/>
      <c r="I55" s="29">
        <v>148</v>
      </c>
      <c r="J55" s="29">
        <v>174</v>
      </c>
      <c r="K55" s="29"/>
      <c r="L55" s="29"/>
      <c r="M55" s="32">
        <f t="shared" si="11"/>
        <v>470</v>
      </c>
      <c r="N55" s="32" t="s">
        <v>1330</v>
      </c>
      <c r="O55" s="32"/>
      <c r="P55" s="42">
        <f t="shared" si="12"/>
        <v>469.99509999999998</v>
      </c>
      <c r="Q55" s="32">
        <f t="shared" si="13"/>
        <v>3</v>
      </c>
      <c r="R55" s="32">
        <f t="shared" ca="1" si="14"/>
        <v>0</v>
      </c>
      <c r="S55" s="33" t="s">
        <v>109</v>
      </c>
      <c r="T55" s="34">
        <f t="shared" si="15"/>
        <v>0</v>
      </c>
      <c r="U55" s="34">
        <f t="shared" ca="1" si="16"/>
        <v>0</v>
      </c>
      <c r="V55" s="34">
        <f>-SUMPRODUCT((S$6:S54=S55)*(X$6:X54=X55))</f>
        <v>0</v>
      </c>
      <c r="W55" s="34">
        <f>-SUMPRODUCT((S$6:S54=S55)*(X$6:X54=X55)*(B$6:B54&lt;&gt;"NS"))</f>
        <v>0</v>
      </c>
      <c r="X55" s="35">
        <f t="shared" si="17"/>
        <v>470.19027999999997</v>
      </c>
      <c r="Y55" s="29">
        <v>174</v>
      </c>
      <c r="Z55" s="29">
        <v>148</v>
      </c>
      <c r="AA55" s="29">
        <v>148</v>
      </c>
      <c r="AB55" s="29"/>
      <c r="AC55" s="29"/>
      <c r="AD55" s="29"/>
      <c r="AF55" s="36">
        <v>0</v>
      </c>
      <c r="AG55" s="36">
        <v>0</v>
      </c>
      <c r="AH55" s="36">
        <v>0</v>
      </c>
      <c r="AI55" s="36">
        <v>0</v>
      </c>
      <c r="AJ55" s="37">
        <v>3</v>
      </c>
      <c r="AK55" s="67">
        <v>470.14508800000004</v>
      </c>
      <c r="AL55" s="39">
        <v>174</v>
      </c>
      <c r="AM55" s="32">
        <v>496</v>
      </c>
      <c r="AN55" s="39"/>
      <c r="AO55" s="39"/>
      <c r="AP55" s="39"/>
      <c r="AQ55" s="30"/>
      <c r="AR55" s="26"/>
      <c r="AS55" s="1"/>
    </row>
    <row r="56" spans="1:45">
      <c r="A56" s="1">
        <v>7</v>
      </c>
      <c r="B56" s="1">
        <v>7</v>
      </c>
      <c r="C56" s="40">
        <f t="shared" si="10"/>
        <v>7</v>
      </c>
      <c r="D56" s="40">
        <f t="shared" si="10"/>
        <v>7</v>
      </c>
      <c r="E56" s="1" t="s">
        <v>255</v>
      </c>
      <c r="F56" s="29" t="s">
        <v>61</v>
      </c>
      <c r="G56" s="29">
        <v>92</v>
      </c>
      <c r="H56" s="29">
        <v>123</v>
      </c>
      <c r="I56" s="29">
        <v>124</v>
      </c>
      <c r="J56" s="29">
        <v>130</v>
      </c>
      <c r="K56" s="29">
        <v>164</v>
      </c>
      <c r="L56" s="29"/>
      <c r="M56" s="32">
        <f t="shared" si="11"/>
        <v>418</v>
      </c>
      <c r="N56" s="32" t="s">
        <v>1330</v>
      </c>
      <c r="O56" s="32"/>
      <c r="P56" s="42">
        <f t="shared" si="12"/>
        <v>417.995</v>
      </c>
      <c r="Q56" s="32">
        <f t="shared" si="13"/>
        <v>5</v>
      </c>
      <c r="R56" s="32">
        <f t="shared" ca="1" si="14"/>
        <v>0</v>
      </c>
      <c r="S56" s="33" t="s">
        <v>109</v>
      </c>
      <c r="T56" s="34">
        <f t="shared" si="15"/>
        <v>0</v>
      </c>
      <c r="U56" s="34">
        <f t="shared" ca="1" si="16"/>
        <v>164</v>
      </c>
      <c r="V56" s="34">
        <f>-SUMPRODUCT((S$6:S55=S56)*(X$6:X55=X56))</f>
        <v>0</v>
      </c>
      <c r="W56" s="34">
        <f>-SUMPRODUCT((S$6:S55=S56)*(X$6:X55=X56)*(B$6:B55&lt;&gt;"NS"))</f>
        <v>0</v>
      </c>
      <c r="X56" s="35">
        <f t="shared" si="17"/>
        <v>418.17824000000002</v>
      </c>
      <c r="Y56" s="29">
        <v>164</v>
      </c>
      <c r="Z56" s="29">
        <v>130</v>
      </c>
      <c r="AA56" s="29">
        <v>124</v>
      </c>
      <c r="AB56" s="29">
        <v>123</v>
      </c>
      <c r="AC56" s="29">
        <v>92</v>
      </c>
      <c r="AD56" s="29"/>
      <c r="AF56" s="36">
        <v>0</v>
      </c>
      <c r="AG56" s="36">
        <v>0</v>
      </c>
      <c r="AH56" s="36">
        <v>0</v>
      </c>
      <c r="AI56" s="36">
        <v>0</v>
      </c>
      <c r="AJ56" s="37">
        <v>4</v>
      </c>
      <c r="AK56" s="67">
        <v>377.10082399999999</v>
      </c>
      <c r="AL56" s="39">
        <v>130</v>
      </c>
      <c r="AM56" s="32">
        <v>384</v>
      </c>
      <c r="AN56" s="39"/>
      <c r="AO56" s="39"/>
      <c r="AP56" s="39"/>
      <c r="AQ56" s="30"/>
      <c r="AR56" s="26"/>
      <c r="AS56" s="1"/>
    </row>
    <row r="57" spans="1:45">
      <c r="A57" s="1">
        <v>8</v>
      </c>
      <c r="B57" s="1">
        <v>8</v>
      </c>
      <c r="C57" s="40">
        <f t="shared" si="10"/>
        <v>8</v>
      </c>
      <c r="D57" s="40">
        <f t="shared" si="10"/>
        <v>8</v>
      </c>
      <c r="E57" s="1" t="s">
        <v>289</v>
      </c>
      <c r="F57" s="29" t="s">
        <v>29</v>
      </c>
      <c r="G57" s="29">
        <v>34</v>
      </c>
      <c r="H57" s="29">
        <v>102</v>
      </c>
      <c r="I57" s="29">
        <v>127</v>
      </c>
      <c r="J57" s="29"/>
      <c r="K57" s="29">
        <v>152</v>
      </c>
      <c r="L57" s="29"/>
      <c r="M57" s="32">
        <f t="shared" si="11"/>
        <v>381</v>
      </c>
      <c r="N57" s="32" t="s">
        <v>1330</v>
      </c>
      <c r="O57" s="32"/>
      <c r="P57" s="42">
        <f t="shared" si="12"/>
        <v>380.99489999999997</v>
      </c>
      <c r="Q57" s="32">
        <f t="shared" si="13"/>
        <v>4</v>
      </c>
      <c r="R57" s="32">
        <f t="shared" ca="1" si="14"/>
        <v>0</v>
      </c>
      <c r="S57" s="33" t="s">
        <v>109</v>
      </c>
      <c r="T57" s="34">
        <f t="shared" si="15"/>
        <v>0</v>
      </c>
      <c r="U57" s="34">
        <f t="shared" ca="1" si="16"/>
        <v>152</v>
      </c>
      <c r="V57" s="34">
        <f>-SUMPRODUCT((S$6:S56=S57)*(X$6:X56=X57))</f>
        <v>0</v>
      </c>
      <c r="W57" s="34">
        <f>-SUMPRODUCT((S$6:S56=S57)*(X$6:X56=X57)*(B$6:B56&lt;&gt;"NS"))</f>
        <v>0</v>
      </c>
      <c r="X57" s="35">
        <f t="shared" si="17"/>
        <v>381.16572000000002</v>
      </c>
      <c r="Y57" s="29">
        <v>152</v>
      </c>
      <c r="Z57" s="29">
        <v>127</v>
      </c>
      <c r="AA57" s="29">
        <v>102</v>
      </c>
      <c r="AB57" s="29">
        <v>34</v>
      </c>
      <c r="AC57" s="29"/>
      <c r="AD57" s="29"/>
      <c r="AF57" s="36">
        <v>0</v>
      </c>
      <c r="AG57" s="36">
        <v>0</v>
      </c>
      <c r="AH57" s="36">
        <v>0</v>
      </c>
      <c r="AI57" s="36">
        <v>0</v>
      </c>
      <c r="AJ57" s="37">
        <v>3</v>
      </c>
      <c r="AK57" s="67">
        <v>263.03966999999994</v>
      </c>
      <c r="AL57" s="39">
        <v>127</v>
      </c>
      <c r="AM57" s="32">
        <v>356</v>
      </c>
      <c r="AN57" s="39"/>
      <c r="AO57" s="39"/>
      <c r="AP57" s="39"/>
      <c r="AQ57" s="30"/>
      <c r="AR57" s="26"/>
      <c r="AS57" s="1"/>
    </row>
    <row r="58" spans="1:45">
      <c r="A58" s="1">
        <v>9</v>
      </c>
      <c r="B58" s="1">
        <v>9</v>
      </c>
      <c r="C58" s="40">
        <f t="shared" si="10"/>
        <v>9</v>
      </c>
      <c r="D58" s="40">
        <f t="shared" si="10"/>
        <v>9</v>
      </c>
      <c r="E58" s="1" t="s">
        <v>300</v>
      </c>
      <c r="F58" s="29" t="s">
        <v>88</v>
      </c>
      <c r="G58" s="29">
        <v>99</v>
      </c>
      <c r="H58" s="29">
        <v>122</v>
      </c>
      <c r="I58" s="29"/>
      <c r="J58" s="29"/>
      <c r="K58" s="29">
        <v>147</v>
      </c>
      <c r="L58" s="29"/>
      <c r="M58" s="32">
        <f t="shared" si="11"/>
        <v>368</v>
      </c>
      <c r="N58" s="32" t="s">
        <v>1330</v>
      </c>
      <c r="O58" s="32"/>
      <c r="P58" s="42">
        <f t="shared" si="12"/>
        <v>367.9948</v>
      </c>
      <c r="Q58" s="32">
        <f t="shared" si="13"/>
        <v>3</v>
      </c>
      <c r="R58" s="32">
        <f t="shared" ca="1" si="14"/>
        <v>0</v>
      </c>
      <c r="S58" s="33" t="s">
        <v>109</v>
      </c>
      <c r="T58" s="34">
        <f t="shared" si="15"/>
        <v>0</v>
      </c>
      <c r="U58" s="34">
        <f t="shared" ca="1" si="16"/>
        <v>147</v>
      </c>
      <c r="V58" s="34">
        <f>-SUMPRODUCT((S$6:S57=S58)*(X$6:X57=X58))</f>
        <v>0</v>
      </c>
      <c r="W58" s="34">
        <f>-SUMPRODUCT((S$6:S57=S58)*(X$6:X57=X58)*(B$6:B57&lt;&gt;"NS"))</f>
        <v>0</v>
      </c>
      <c r="X58" s="35">
        <f t="shared" si="17"/>
        <v>368.16019</v>
      </c>
      <c r="Y58" s="29">
        <v>147</v>
      </c>
      <c r="Z58" s="29">
        <v>122</v>
      </c>
      <c r="AA58" s="29">
        <v>99</v>
      </c>
      <c r="AB58" s="29"/>
      <c r="AC58" s="29"/>
      <c r="AD58" s="29"/>
      <c r="AF58" s="36">
        <v>0</v>
      </c>
      <c r="AG58" s="36">
        <v>0</v>
      </c>
      <c r="AH58" s="36">
        <v>0</v>
      </c>
      <c r="AI58" s="36">
        <v>0</v>
      </c>
      <c r="AJ58" s="37">
        <v>2</v>
      </c>
      <c r="AK58" s="67">
        <v>221.10509999999999</v>
      </c>
      <c r="AL58" s="39">
        <v>122</v>
      </c>
      <c r="AM58" s="32">
        <v>343</v>
      </c>
      <c r="AN58" s="39"/>
      <c r="AO58" s="39"/>
      <c r="AP58" s="39"/>
      <c r="AQ58" s="30"/>
      <c r="AR58" s="26"/>
      <c r="AS58" s="1"/>
    </row>
    <row r="59" spans="1:45">
      <c r="A59" s="1">
        <v>10</v>
      </c>
      <c r="B59" s="1">
        <v>10</v>
      </c>
      <c r="C59" s="40">
        <f t="shared" si="10"/>
        <v>10</v>
      </c>
      <c r="D59" s="40">
        <f t="shared" si="10"/>
        <v>10</v>
      </c>
      <c r="E59" s="1" t="s">
        <v>740</v>
      </c>
      <c r="F59" s="29" t="s">
        <v>66</v>
      </c>
      <c r="G59" s="29">
        <v>183</v>
      </c>
      <c r="H59" s="29"/>
      <c r="I59" s="29">
        <v>184</v>
      </c>
      <c r="J59" s="29"/>
      <c r="K59" s="29"/>
      <c r="L59" s="29"/>
      <c r="M59" s="32">
        <f t="shared" si="11"/>
        <v>367</v>
      </c>
      <c r="N59" s="32" t="s">
        <v>1330</v>
      </c>
      <c r="O59" s="32"/>
      <c r="P59" s="42">
        <f t="shared" si="12"/>
        <v>366.99470000000002</v>
      </c>
      <c r="Q59" s="32">
        <f t="shared" si="13"/>
        <v>2</v>
      </c>
      <c r="R59" s="32">
        <f t="shared" ca="1" si="14"/>
        <v>0</v>
      </c>
      <c r="S59" s="33" t="s">
        <v>109</v>
      </c>
      <c r="T59" s="34">
        <f t="shared" si="15"/>
        <v>0</v>
      </c>
      <c r="U59" s="34">
        <f t="shared" ca="1" si="16"/>
        <v>0</v>
      </c>
      <c r="V59" s="34">
        <f>-SUMPRODUCT((S$6:S58=S59)*(X$6:X58=X59))</f>
        <v>0</v>
      </c>
      <c r="W59" s="34">
        <f>-SUMPRODUCT((S$6:S58=S59)*(X$6:X58=X59)*(B$6:B58&lt;&gt;"NS"))</f>
        <v>0</v>
      </c>
      <c r="X59" s="35">
        <f t="shared" si="17"/>
        <v>367.20229999999998</v>
      </c>
      <c r="Y59" s="29">
        <v>184</v>
      </c>
      <c r="Z59" s="29">
        <v>183</v>
      </c>
      <c r="AA59" s="29"/>
      <c r="AB59" s="29"/>
      <c r="AC59" s="29"/>
      <c r="AD59" s="29"/>
      <c r="AF59" s="36">
        <v>0</v>
      </c>
      <c r="AG59" s="36">
        <v>0</v>
      </c>
      <c r="AH59" s="36">
        <v>0</v>
      </c>
      <c r="AI59" s="36">
        <v>0</v>
      </c>
      <c r="AJ59" s="37">
        <v>2</v>
      </c>
      <c r="AK59" s="67">
        <v>367.17984000000001</v>
      </c>
      <c r="AL59" s="39">
        <v>184</v>
      </c>
      <c r="AM59" s="32">
        <v>551</v>
      </c>
      <c r="AN59" s="39"/>
      <c r="AO59" s="39"/>
      <c r="AP59" s="39"/>
      <c r="AQ59" s="30"/>
      <c r="AR59" s="26"/>
      <c r="AS59" s="1"/>
    </row>
    <row r="60" spans="1:45">
      <c r="A60" s="1">
        <v>11</v>
      </c>
      <c r="B60" s="1">
        <v>11</v>
      </c>
      <c r="C60" s="40">
        <f t="shared" si="10"/>
        <v>11</v>
      </c>
      <c r="D60" s="40">
        <f t="shared" si="10"/>
        <v>11</v>
      </c>
      <c r="E60" s="1" t="s">
        <v>741</v>
      </c>
      <c r="F60" s="29" t="s">
        <v>66</v>
      </c>
      <c r="G60" s="29">
        <v>104</v>
      </c>
      <c r="H60" s="29">
        <v>128</v>
      </c>
      <c r="I60" s="29"/>
      <c r="J60" s="29">
        <v>129</v>
      </c>
      <c r="K60" s="29"/>
      <c r="L60" s="29"/>
      <c r="M60" s="32">
        <f t="shared" si="11"/>
        <v>361</v>
      </c>
      <c r="N60" s="32" t="s">
        <v>1330</v>
      </c>
      <c r="O60" s="32"/>
      <c r="P60" s="42">
        <f t="shared" si="12"/>
        <v>360.99459999999999</v>
      </c>
      <c r="Q60" s="32">
        <f t="shared" si="13"/>
        <v>3</v>
      </c>
      <c r="R60" s="32">
        <f t="shared" ca="1" si="14"/>
        <v>0</v>
      </c>
      <c r="S60" s="33" t="s">
        <v>109</v>
      </c>
      <c r="T60" s="34">
        <f t="shared" si="15"/>
        <v>0</v>
      </c>
      <c r="U60" s="34">
        <f t="shared" ca="1" si="16"/>
        <v>0</v>
      </c>
      <c r="V60" s="34">
        <f>-SUMPRODUCT((S$6:S59=S60)*(X$6:X59=X60))</f>
        <v>0</v>
      </c>
      <c r="W60" s="34">
        <f>-SUMPRODUCT((S$6:S59=S60)*(X$6:X59=X60)*(B$6:B59&lt;&gt;"NS"))</f>
        <v>0</v>
      </c>
      <c r="X60" s="35">
        <f t="shared" si="17"/>
        <v>361.14283999999998</v>
      </c>
      <c r="Y60" s="29">
        <v>129</v>
      </c>
      <c r="Z60" s="29">
        <v>128</v>
      </c>
      <c r="AA60" s="29">
        <v>104</v>
      </c>
      <c r="AB60" s="29"/>
      <c r="AC60" s="29"/>
      <c r="AD60" s="29"/>
      <c r="AF60" s="36">
        <v>0</v>
      </c>
      <c r="AG60" s="36">
        <v>0</v>
      </c>
      <c r="AH60" s="36">
        <v>0</v>
      </c>
      <c r="AI60" s="36">
        <v>0</v>
      </c>
      <c r="AJ60" s="37">
        <v>3</v>
      </c>
      <c r="AK60" s="67">
        <v>361.11298999999997</v>
      </c>
      <c r="AL60" s="39">
        <v>129</v>
      </c>
      <c r="AM60" s="32">
        <v>386</v>
      </c>
      <c r="AN60" s="39"/>
      <c r="AO60" s="39"/>
      <c r="AP60" s="39"/>
      <c r="AQ60" s="30"/>
      <c r="AR60" s="26"/>
      <c r="AS60" s="1"/>
    </row>
    <row r="61" spans="1:45">
      <c r="A61" s="1">
        <v>12</v>
      </c>
      <c r="B61" s="1">
        <v>12</v>
      </c>
      <c r="C61" s="40">
        <f t="shared" si="10"/>
        <v>12</v>
      </c>
      <c r="D61" s="40">
        <f t="shared" si="10"/>
        <v>12</v>
      </c>
      <c r="E61" s="1" t="s">
        <v>742</v>
      </c>
      <c r="F61" s="29" t="s">
        <v>162</v>
      </c>
      <c r="G61" s="29"/>
      <c r="H61" s="29"/>
      <c r="I61" s="29">
        <v>176</v>
      </c>
      <c r="J61" s="29">
        <v>180</v>
      </c>
      <c r="K61" s="29"/>
      <c r="L61" s="29"/>
      <c r="M61" s="32">
        <f t="shared" si="11"/>
        <v>356</v>
      </c>
      <c r="N61" s="32" t="s">
        <v>1330</v>
      </c>
      <c r="O61" s="32"/>
      <c r="P61" s="42">
        <f t="shared" si="12"/>
        <v>355.99450000000002</v>
      </c>
      <c r="Q61" s="32">
        <f t="shared" si="13"/>
        <v>2</v>
      </c>
      <c r="R61" s="32">
        <f t="shared" ca="1" si="14"/>
        <v>0</v>
      </c>
      <c r="S61" s="33" t="s">
        <v>109</v>
      </c>
      <c r="T61" s="34">
        <f t="shared" si="15"/>
        <v>0</v>
      </c>
      <c r="U61" s="34">
        <f t="shared" ca="1" si="16"/>
        <v>0</v>
      </c>
      <c r="V61" s="34">
        <f>-SUMPRODUCT((S$6:S60=S61)*(X$6:X60=X61))</f>
        <v>0</v>
      </c>
      <c r="W61" s="34">
        <f>-SUMPRODUCT((S$6:S60=S61)*(X$6:X60=X61)*(B$6:B60&lt;&gt;"NS"))</f>
        <v>0</v>
      </c>
      <c r="X61" s="35">
        <f t="shared" si="17"/>
        <v>356.19760000000002</v>
      </c>
      <c r="Y61" s="29">
        <v>180</v>
      </c>
      <c r="Z61" s="29">
        <v>176</v>
      </c>
      <c r="AA61" s="29"/>
      <c r="AB61" s="29"/>
      <c r="AC61" s="29"/>
      <c r="AD61" s="29"/>
      <c r="AF61" s="36">
        <v>0</v>
      </c>
      <c r="AG61" s="36">
        <v>0</v>
      </c>
      <c r="AH61" s="36">
        <v>0</v>
      </c>
      <c r="AI61" s="36">
        <v>0</v>
      </c>
      <c r="AJ61" s="37">
        <v>2</v>
      </c>
      <c r="AK61" s="67">
        <v>355.99677600000001</v>
      </c>
      <c r="AL61" s="39">
        <v>180</v>
      </c>
      <c r="AM61" s="32">
        <v>536</v>
      </c>
      <c r="AN61" s="39"/>
      <c r="AO61" s="39"/>
      <c r="AP61" s="39"/>
      <c r="AQ61" s="30"/>
      <c r="AR61" s="26"/>
      <c r="AS61" s="1"/>
    </row>
    <row r="62" spans="1:45">
      <c r="A62" s="1">
        <v>13</v>
      </c>
      <c r="B62" s="1">
        <v>13</v>
      </c>
      <c r="C62" s="40">
        <f t="shared" si="10"/>
        <v>13</v>
      </c>
      <c r="D62" s="40">
        <f t="shared" si="10"/>
        <v>13</v>
      </c>
      <c r="E62" s="1" t="s">
        <v>743</v>
      </c>
      <c r="F62" s="29" t="s">
        <v>38</v>
      </c>
      <c r="G62" s="29">
        <v>176</v>
      </c>
      <c r="H62" s="29">
        <v>173</v>
      </c>
      <c r="I62" s="29"/>
      <c r="J62" s="29"/>
      <c r="K62" s="29"/>
      <c r="L62" s="29"/>
      <c r="M62" s="32">
        <f t="shared" si="11"/>
        <v>349</v>
      </c>
      <c r="N62" s="32" t="s">
        <v>1330</v>
      </c>
      <c r="O62" s="32"/>
      <c r="P62" s="42">
        <f t="shared" si="12"/>
        <v>348.99439999999998</v>
      </c>
      <c r="Q62" s="32">
        <f t="shared" si="13"/>
        <v>2</v>
      </c>
      <c r="R62" s="32">
        <f t="shared" ca="1" si="14"/>
        <v>0</v>
      </c>
      <c r="S62" s="33" t="s">
        <v>109</v>
      </c>
      <c r="T62" s="34">
        <f t="shared" si="15"/>
        <v>0</v>
      </c>
      <c r="U62" s="34">
        <f t="shared" ca="1" si="16"/>
        <v>0</v>
      </c>
      <c r="V62" s="34">
        <f>-SUMPRODUCT((S$6:S61=S62)*(X$6:X61=X62))</f>
        <v>0</v>
      </c>
      <c r="W62" s="34">
        <f>-SUMPRODUCT((S$6:S61=S62)*(X$6:X61=X62)*(B$6:B61&lt;&gt;"NS"))</f>
        <v>0</v>
      </c>
      <c r="X62" s="35">
        <f t="shared" si="17"/>
        <v>349.19330000000002</v>
      </c>
      <c r="Y62" s="29">
        <v>176</v>
      </c>
      <c r="Z62" s="29">
        <v>173</v>
      </c>
      <c r="AA62" s="29"/>
      <c r="AB62" s="29"/>
      <c r="AC62" s="29"/>
      <c r="AD62" s="29"/>
      <c r="AF62" s="36">
        <v>0</v>
      </c>
      <c r="AG62" s="36">
        <v>0</v>
      </c>
      <c r="AH62" s="36">
        <v>0</v>
      </c>
      <c r="AI62" s="36">
        <v>0</v>
      </c>
      <c r="AJ62" s="37">
        <v>2</v>
      </c>
      <c r="AK62" s="67">
        <v>349.18799999999999</v>
      </c>
      <c r="AL62" s="39">
        <v>176</v>
      </c>
      <c r="AM62" s="32">
        <v>525</v>
      </c>
      <c r="AN62" s="39"/>
      <c r="AO62" s="39"/>
      <c r="AP62" s="39"/>
      <c r="AQ62" s="30"/>
      <c r="AR62" s="26"/>
      <c r="AS62" s="1"/>
    </row>
    <row r="63" spans="1:45">
      <c r="A63" s="1">
        <v>14</v>
      </c>
      <c r="B63" s="1">
        <v>14</v>
      </c>
      <c r="C63" s="40">
        <f t="shared" si="10"/>
        <v>14</v>
      </c>
      <c r="D63" s="40">
        <f t="shared" si="10"/>
        <v>14</v>
      </c>
      <c r="E63" s="1" t="s">
        <v>238</v>
      </c>
      <c r="F63" s="29" t="s">
        <v>118</v>
      </c>
      <c r="G63" s="29"/>
      <c r="H63" s="29"/>
      <c r="I63" s="29">
        <v>167</v>
      </c>
      <c r="J63" s="29"/>
      <c r="K63" s="29">
        <v>169</v>
      </c>
      <c r="L63" s="29"/>
      <c r="M63" s="32">
        <f t="shared" si="11"/>
        <v>336</v>
      </c>
      <c r="N63" s="32" t="s">
        <v>1330</v>
      </c>
      <c r="O63" s="32"/>
      <c r="P63" s="42">
        <f t="shared" si="12"/>
        <v>335.99430000000001</v>
      </c>
      <c r="Q63" s="32">
        <f t="shared" si="13"/>
        <v>2</v>
      </c>
      <c r="R63" s="32">
        <f t="shared" ca="1" si="14"/>
        <v>0</v>
      </c>
      <c r="S63" s="33" t="s">
        <v>109</v>
      </c>
      <c r="T63" s="34">
        <f t="shared" si="15"/>
        <v>0</v>
      </c>
      <c r="U63" s="34">
        <f t="shared" ca="1" si="16"/>
        <v>169</v>
      </c>
      <c r="V63" s="34">
        <f>-SUMPRODUCT((S$6:S62=S63)*(X$6:X62=X63))</f>
        <v>0</v>
      </c>
      <c r="W63" s="34">
        <f>-SUMPRODUCT((S$6:S62=S63)*(X$6:X62=X63)*(B$6:B62&lt;&gt;"NS"))</f>
        <v>0</v>
      </c>
      <c r="X63" s="35">
        <f t="shared" si="17"/>
        <v>336.1857</v>
      </c>
      <c r="Y63" s="29">
        <v>169</v>
      </c>
      <c r="Z63" s="29">
        <v>167</v>
      </c>
      <c r="AA63" s="29"/>
      <c r="AB63" s="29"/>
      <c r="AC63" s="29"/>
      <c r="AD63" s="29"/>
      <c r="AF63" s="36">
        <v>0</v>
      </c>
      <c r="AG63" s="36">
        <v>0</v>
      </c>
      <c r="AH63" s="36">
        <v>0</v>
      </c>
      <c r="AI63" s="36">
        <v>0</v>
      </c>
      <c r="AJ63" s="37">
        <v>1</v>
      </c>
      <c r="AK63" s="67">
        <v>166.99517</v>
      </c>
      <c r="AL63" s="39">
        <v>167</v>
      </c>
      <c r="AM63" s="32">
        <v>334</v>
      </c>
      <c r="AN63" s="39"/>
      <c r="AO63" s="39"/>
      <c r="AP63" s="39"/>
      <c r="AQ63" s="30"/>
      <c r="AR63" s="26"/>
      <c r="AS63" s="1"/>
    </row>
    <row r="64" spans="1:45">
      <c r="A64" s="1">
        <v>15</v>
      </c>
      <c r="B64" s="1">
        <v>15</v>
      </c>
      <c r="C64" s="40">
        <f t="shared" si="10"/>
        <v>15</v>
      </c>
      <c r="D64" s="40">
        <f t="shared" si="10"/>
        <v>15</v>
      </c>
      <c r="E64" s="1" t="s">
        <v>327</v>
      </c>
      <c r="F64" s="29" t="s">
        <v>66</v>
      </c>
      <c r="G64" s="29">
        <v>78</v>
      </c>
      <c r="H64" s="29">
        <v>86</v>
      </c>
      <c r="I64" s="29">
        <v>85</v>
      </c>
      <c r="J64" s="29">
        <v>108</v>
      </c>
      <c r="K64" s="29">
        <v>133</v>
      </c>
      <c r="L64" s="29"/>
      <c r="M64" s="32">
        <f t="shared" si="11"/>
        <v>327</v>
      </c>
      <c r="N64" s="32" t="s">
        <v>1330</v>
      </c>
      <c r="O64" s="32"/>
      <c r="P64" s="42">
        <f t="shared" si="12"/>
        <v>326.99419999999998</v>
      </c>
      <c r="Q64" s="32">
        <f t="shared" si="13"/>
        <v>5</v>
      </c>
      <c r="R64" s="32">
        <f t="shared" ca="1" si="14"/>
        <v>0</v>
      </c>
      <c r="S64" s="33" t="s">
        <v>109</v>
      </c>
      <c r="T64" s="34">
        <f t="shared" si="15"/>
        <v>0</v>
      </c>
      <c r="U64" s="34">
        <f t="shared" ca="1" si="16"/>
        <v>133</v>
      </c>
      <c r="V64" s="34">
        <f>-SUMPRODUCT((S$6:S63=S64)*(X$6:X63=X64))</f>
        <v>0</v>
      </c>
      <c r="W64" s="34">
        <f>-SUMPRODUCT((S$6:S63=S64)*(X$6:X63=X64)*(B$6:B63&lt;&gt;"NS"))</f>
        <v>0</v>
      </c>
      <c r="X64" s="35">
        <f t="shared" si="17"/>
        <v>327.14465999999999</v>
      </c>
      <c r="Y64" s="29">
        <v>133</v>
      </c>
      <c r="Z64" s="29">
        <v>108</v>
      </c>
      <c r="AA64" s="29">
        <v>86</v>
      </c>
      <c r="AB64" s="29">
        <v>85</v>
      </c>
      <c r="AC64" s="29">
        <v>78</v>
      </c>
      <c r="AD64" s="29"/>
      <c r="AF64" s="36">
        <v>0</v>
      </c>
      <c r="AG64" s="36">
        <v>0</v>
      </c>
      <c r="AH64" s="36">
        <v>0</v>
      </c>
      <c r="AI64" s="36">
        <v>0</v>
      </c>
      <c r="AJ64" s="37">
        <v>4</v>
      </c>
      <c r="AK64" s="67">
        <v>279.082065</v>
      </c>
      <c r="AL64" s="39">
        <v>108</v>
      </c>
      <c r="AM64" s="32">
        <v>302</v>
      </c>
      <c r="AN64" s="39"/>
      <c r="AO64" s="39"/>
      <c r="AP64" s="39"/>
      <c r="AQ64" s="30"/>
      <c r="AR64" s="26"/>
      <c r="AS64" s="1"/>
    </row>
    <row r="65" spans="1:45">
      <c r="A65" s="1">
        <v>16</v>
      </c>
      <c r="B65" s="1">
        <v>16</v>
      </c>
      <c r="C65" s="40">
        <f t="shared" si="10"/>
        <v>16</v>
      </c>
      <c r="D65" s="40">
        <f t="shared" si="10"/>
        <v>16</v>
      </c>
      <c r="E65" s="1" t="s">
        <v>744</v>
      </c>
      <c r="F65" s="29" t="s">
        <v>485</v>
      </c>
      <c r="G65" s="29">
        <v>145</v>
      </c>
      <c r="H65" s="29">
        <v>156</v>
      </c>
      <c r="I65" s="29"/>
      <c r="J65" s="29"/>
      <c r="K65" s="29"/>
      <c r="L65" s="29"/>
      <c r="M65" s="32">
        <f t="shared" si="11"/>
        <v>301</v>
      </c>
      <c r="N65" s="32" t="s">
        <v>1330</v>
      </c>
      <c r="O65" s="32"/>
      <c r="P65" s="42">
        <f t="shared" si="12"/>
        <v>300.9941</v>
      </c>
      <c r="Q65" s="32">
        <f t="shared" si="13"/>
        <v>2</v>
      </c>
      <c r="R65" s="32">
        <f t="shared" ca="1" si="14"/>
        <v>0</v>
      </c>
      <c r="S65" s="33" t="s">
        <v>109</v>
      </c>
      <c r="T65" s="34">
        <f t="shared" si="15"/>
        <v>0</v>
      </c>
      <c r="U65" s="34">
        <f t="shared" ca="1" si="16"/>
        <v>0</v>
      </c>
      <c r="V65" s="34">
        <f>-SUMPRODUCT((S$6:S64=S65)*(X$6:X64=X65))</f>
        <v>0</v>
      </c>
      <c r="W65" s="34">
        <f>-SUMPRODUCT((S$6:S64=S65)*(X$6:X64=X65)*(B$6:B64&lt;&gt;"NS"))</f>
        <v>0</v>
      </c>
      <c r="X65" s="35">
        <f t="shared" si="17"/>
        <v>301.1705</v>
      </c>
      <c r="Y65" s="29">
        <v>156</v>
      </c>
      <c r="Z65" s="29">
        <v>145</v>
      </c>
      <c r="AA65" s="29"/>
      <c r="AB65" s="29"/>
      <c r="AC65" s="29"/>
      <c r="AD65" s="29"/>
      <c r="AF65" s="36">
        <v>0</v>
      </c>
      <c r="AG65" s="36">
        <v>0</v>
      </c>
      <c r="AH65" s="36">
        <v>0</v>
      </c>
      <c r="AI65" s="36">
        <v>0</v>
      </c>
      <c r="AJ65" s="37">
        <v>2</v>
      </c>
      <c r="AK65" s="67">
        <v>301.1551</v>
      </c>
      <c r="AL65" s="39">
        <v>156</v>
      </c>
      <c r="AM65" s="32">
        <v>457</v>
      </c>
      <c r="AN65" s="39"/>
      <c r="AO65" s="39"/>
      <c r="AP65" s="39"/>
      <c r="AQ65" s="30"/>
      <c r="AR65" s="26"/>
      <c r="AS65" s="1"/>
    </row>
    <row r="66" spans="1:45">
      <c r="A66" s="1">
        <v>17</v>
      </c>
      <c r="B66" s="1">
        <v>17</v>
      </c>
      <c r="C66" s="40">
        <f t="shared" si="10"/>
        <v>17</v>
      </c>
      <c r="D66" s="40">
        <f t="shared" si="10"/>
        <v>17</v>
      </c>
      <c r="E66" s="1" t="s">
        <v>745</v>
      </c>
      <c r="F66" s="29" t="s">
        <v>66</v>
      </c>
      <c r="G66" s="29">
        <v>135</v>
      </c>
      <c r="H66" s="29"/>
      <c r="I66" s="29"/>
      <c r="J66" s="29">
        <v>165</v>
      </c>
      <c r="K66" s="29"/>
      <c r="L66" s="29"/>
      <c r="M66" s="32">
        <f t="shared" si="11"/>
        <v>300</v>
      </c>
      <c r="N66" s="32" t="s">
        <v>1330</v>
      </c>
      <c r="O66" s="32"/>
      <c r="P66" s="42">
        <f t="shared" si="12"/>
        <v>299.99400000000003</v>
      </c>
      <c r="Q66" s="32">
        <f t="shared" si="13"/>
        <v>2</v>
      </c>
      <c r="R66" s="32">
        <f t="shared" ca="1" si="14"/>
        <v>0</v>
      </c>
      <c r="S66" s="33" t="s">
        <v>109</v>
      </c>
      <c r="T66" s="34">
        <f t="shared" si="15"/>
        <v>0</v>
      </c>
      <c r="U66" s="34">
        <f t="shared" ca="1" si="16"/>
        <v>0</v>
      </c>
      <c r="V66" s="34">
        <f>-SUMPRODUCT((S$6:S65=S66)*(X$6:X65=X66))</f>
        <v>0</v>
      </c>
      <c r="W66" s="34">
        <f>-SUMPRODUCT((S$6:S65=S66)*(X$6:X65=X66)*(B$6:B65&lt;&gt;"NS"))</f>
        <v>0</v>
      </c>
      <c r="X66" s="35">
        <f t="shared" si="17"/>
        <v>300.17849999999999</v>
      </c>
      <c r="Y66" s="29">
        <v>165</v>
      </c>
      <c r="Z66" s="29">
        <v>135</v>
      </c>
      <c r="AA66" s="29"/>
      <c r="AB66" s="29"/>
      <c r="AC66" s="29"/>
      <c r="AD66" s="29"/>
      <c r="AF66" s="36">
        <v>0</v>
      </c>
      <c r="AG66" s="36">
        <v>0</v>
      </c>
      <c r="AH66" s="36">
        <v>0</v>
      </c>
      <c r="AI66" s="36">
        <v>0</v>
      </c>
      <c r="AJ66" s="37">
        <v>2</v>
      </c>
      <c r="AK66" s="67">
        <v>300.13104999999996</v>
      </c>
      <c r="AL66" s="39">
        <v>165</v>
      </c>
      <c r="AM66" s="32">
        <v>465</v>
      </c>
      <c r="AN66" s="39"/>
      <c r="AO66" s="39"/>
      <c r="AP66" s="39"/>
      <c r="AQ66" s="30"/>
      <c r="AR66" s="26"/>
      <c r="AS66" s="1"/>
    </row>
    <row r="67" spans="1:45">
      <c r="A67" s="1">
        <v>18</v>
      </c>
      <c r="B67" s="1">
        <v>18</v>
      </c>
      <c r="C67" s="40">
        <f t="shared" si="10"/>
        <v>18</v>
      </c>
      <c r="D67" s="40">
        <f t="shared" si="10"/>
        <v>18</v>
      </c>
      <c r="E67" s="1" t="s">
        <v>746</v>
      </c>
      <c r="F67" s="29" t="s">
        <v>66</v>
      </c>
      <c r="G67" s="29">
        <v>67</v>
      </c>
      <c r="H67" s="29">
        <v>87</v>
      </c>
      <c r="I67" s="29">
        <v>76</v>
      </c>
      <c r="J67" s="29"/>
      <c r="K67" s="29"/>
      <c r="L67" s="29"/>
      <c r="M67" s="32">
        <f t="shared" si="11"/>
        <v>230</v>
      </c>
      <c r="N67" s="32" t="s">
        <v>1330</v>
      </c>
      <c r="O67" s="32"/>
      <c r="P67" s="42">
        <f t="shared" si="12"/>
        <v>229.9939</v>
      </c>
      <c r="Q67" s="32">
        <f t="shared" si="13"/>
        <v>3</v>
      </c>
      <c r="R67" s="32">
        <f t="shared" ca="1" si="14"/>
        <v>0</v>
      </c>
      <c r="S67" s="33" t="s">
        <v>109</v>
      </c>
      <c r="T67" s="34">
        <f t="shared" si="15"/>
        <v>0</v>
      </c>
      <c r="U67" s="34">
        <f t="shared" ca="1" si="16"/>
        <v>0</v>
      </c>
      <c r="V67" s="34">
        <f>-SUMPRODUCT((S$6:S66=S67)*(X$6:X66=X67))</f>
        <v>0</v>
      </c>
      <c r="W67" s="34">
        <f>-SUMPRODUCT((S$6:S66=S67)*(X$6:X66=X67)*(B$6:B66&lt;&gt;"NS"))</f>
        <v>0</v>
      </c>
      <c r="X67" s="35">
        <f t="shared" si="17"/>
        <v>230.09527</v>
      </c>
      <c r="Y67" s="29">
        <v>87</v>
      </c>
      <c r="Z67" s="29">
        <v>76</v>
      </c>
      <c r="AA67" s="29">
        <v>67</v>
      </c>
      <c r="AB67" s="29"/>
      <c r="AC67" s="29"/>
      <c r="AD67" s="29"/>
      <c r="AF67" s="36">
        <v>0</v>
      </c>
      <c r="AG67" s="36">
        <v>0</v>
      </c>
      <c r="AH67" s="36">
        <v>0</v>
      </c>
      <c r="AI67" s="36">
        <v>0</v>
      </c>
      <c r="AJ67" s="37">
        <v>3</v>
      </c>
      <c r="AK67" s="67">
        <v>230.07056000000003</v>
      </c>
      <c r="AL67" s="39">
        <v>87</v>
      </c>
      <c r="AM67" s="32">
        <v>250</v>
      </c>
      <c r="AN67" s="39"/>
      <c r="AO67" s="39"/>
      <c r="AP67" s="39"/>
      <c r="AQ67" s="30"/>
      <c r="AR67" s="26"/>
      <c r="AS67" s="1"/>
    </row>
    <row r="68" spans="1:45">
      <c r="A68" s="1">
        <v>19</v>
      </c>
      <c r="B68" s="1">
        <v>19</v>
      </c>
      <c r="C68" s="40">
        <f t="shared" si="10"/>
        <v>19</v>
      </c>
      <c r="D68" s="40">
        <f t="shared" si="10"/>
        <v>19</v>
      </c>
      <c r="E68" s="1" t="s">
        <v>747</v>
      </c>
      <c r="F68" s="29" t="s">
        <v>162</v>
      </c>
      <c r="G68" s="29">
        <v>110</v>
      </c>
      <c r="H68" s="29">
        <v>114</v>
      </c>
      <c r="I68" s="29"/>
      <c r="J68" s="29"/>
      <c r="K68" s="29"/>
      <c r="L68" s="29"/>
      <c r="M68" s="32">
        <f t="shared" si="11"/>
        <v>224</v>
      </c>
      <c r="N68" s="32" t="s">
        <v>1330</v>
      </c>
      <c r="O68" s="32"/>
      <c r="P68" s="42">
        <f t="shared" si="12"/>
        <v>223.99379999999999</v>
      </c>
      <c r="Q68" s="32">
        <f t="shared" si="13"/>
        <v>2</v>
      </c>
      <c r="R68" s="32">
        <f t="shared" ca="1" si="14"/>
        <v>0</v>
      </c>
      <c r="S68" s="33" t="s">
        <v>109</v>
      </c>
      <c r="T68" s="34">
        <f t="shared" si="15"/>
        <v>0</v>
      </c>
      <c r="U68" s="34">
        <f t="shared" ca="1" si="16"/>
        <v>0</v>
      </c>
      <c r="V68" s="34">
        <f>-SUMPRODUCT((S$6:S67=S68)*(X$6:X67=X68))</f>
        <v>0</v>
      </c>
      <c r="W68" s="34">
        <f>-SUMPRODUCT((S$6:S67=S68)*(X$6:X67=X68)*(B$6:B67&lt;&gt;"NS"))</f>
        <v>0</v>
      </c>
      <c r="X68" s="35">
        <f t="shared" si="17"/>
        <v>224.125</v>
      </c>
      <c r="Y68" s="29">
        <v>114</v>
      </c>
      <c r="Z68" s="29">
        <v>110</v>
      </c>
      <c r="AA68" s="29"/>
      <c r="AB68" s="29"/>
      <c r="AC68" s="29"/>
      <c r="AD68" s="29"/>
      <c r="AF68" s="36">
        <v>0</v>
      </c>
      <c r="AG68" s="36">
        <v>0</v>
      </c>
      <c r="AH68" s="36">
        <v>0</v>
      </c>
      <c r="AI68" s="36">
        <v>0</v>
      </c>
      <c r="AJ68" s="37">
        <v>2</v>
      </c>
      <c r="AK68" s="67">
        <v>224.11540000000002</v>
      </c>
      <c r="AL68" s="39">
        <v>114</v>
      </c>
      <c r="AM68" s="32">
        <v>338</v>
      </c>
      <c r="AN68" s="39"/>
      <c r="AO68" s="39"/>
      <c r="AP68" s="39"/>
      <c r="AQ68" s="30"/>
      <c r="AR68" s="26"/>
      <c r="AS68" s="1"/>
    </row>
    <row r="69" spans="1:45">
      <c r="A69" s="1">
        <v>20</v>
      </c>
      <c r="B69" s="1">
        <v>20</v>
      </c>
      <c r="C69" s="40">
        <f t="shared" si="10"/>
        <v>20</v>
      </c>
      <c r="D69" s="40">
        <f t="shared" si="10"/>
        <v>20</v>
      </c>
      <c r="E69" s="1" t="s">
        <v>748</v>
      </c>
      <c r="F69" s="29" t="s">
        <v>61</v>
      </c>
      <c r="G69" s="29">
        <v>74</v>
      </c>
      <c r="H69" s="29"/>
      <c r="I69" s="29"/>
      <c r="J69" s="29">
        <v>120</v>
      </c>
      <c r="K69" s="29"/>
      <c r="L69" s="29"/>
      <c r="M69" s="32">
        <f t="shared" si="11"/>
        <v>194</v>
      </c>
      <c r="N69" s="32" t="s">
        <v>1330</v>
      </c>
      <c r="O69" s="32"/>
      <c r="P69" s="42">
        <f t="shared" si="12"/>
        <v>193.99369999999999</v>
      </c>
      <c r="Q69" s="32">
        <f t="shared" si="13"/>
        <v>2</v>
      </c>
      <c r="R69" s="32">
        <f t="shared" ca="1" si="14"/>
        <v>0</v>
      </c>
      <c r="S69" s="33" t="s">
        <v>109</v>
      </c>
      <c r="T69" s="34">
        <f t="shared" si="15"/>
        <v>0</v>
      </c>
      <c r="U69" s="34">
        <f t="shared" ca="1" si="16"/>
        <v>0</v>
      </c>
      <c r="V69" s="34">
        <f>-SUMPRODUCT((S$6:S68=S69)*(X$6:X68=X69))</f>
        <v>0</v>
      </c>
      <c r="W69" s="34">
        <f>-SUMPRODUCT((S$6:S68=S69)*(X$6:X68=X69)*(B$6:B68&lt;&gt;"NS"))</f>
        <v>0</v>
      </c>
      <c r="X69" s="35">
        <f t="shared" si="17"/>
        <v>194.12739999999999</v>
      </c>
      <c r="Y69" s="29">
        <v>120</v>
      </c>
      <c r="Z69" s="29">
        <v>74</v>
      </c>
      <c r="AA69" s="29"/>
      <c r="AB69" s="29"/>
      <c r="AC69" s="29"/>
      <c r="AD69" s="29"/>
      <c r="AF69" s="36">
        <v>0</v>
      </c>
      <c r="AG69" s="36">
        <v>0</v>
      </c>
      <c r="AH69" s="36">
        <v>0</v>
      </c>
      <c r="AI69" s="36">
        <v>0</v>
      </c>
      <c r="AJ69" s="37">
        <v>2</v>
      </c>
      <c r="AK69" s="67">
        <v>194.06900000000002</v>
      </c>
      <c r="AL69" s="39">
        <v>120</v>
      </c>
      <c r="AM69" s="32">
        <v>314</v>
      </c>
      <c r="AN69" s="39"/>
      <c r="AO69" s="39"/>
      <c r="AP69" s="39"/>
      <c r="AQ69" s="30"/>
      <c r="AR69" s="26"/>
      <c r="AS69" s="1"/>
    </row>
    <row r="70" spans="1:45">
      <c r="A70" s="1">
        <v>21</v>
      </c>
      <c r="B70" s="1">
        <v>21</v>
      </c>
      <c r="C70" s="40">
        <f t="shared" si="10"/>
        <v>21</v>
      </c>
      <c r="D70" s="40">
        <f t="shared" si="10"/>
        <v>21</v>
      </c>
      <c r="E70" s="1" t="s">
        <v>749</v>
      </c>
      <c r="F70" s="29" t="s">
        <v>66</v>
      </c>
      <c r="G70" s="29"/>
      <c r="H70" s="29"/>
      <c r="I70" s="29">
        <v>191</v>
      </c>
      <c r="J70" s="29"/>
      <c r="K70" s="29"/>
      <c r="L70" s="29"/>
      <c r="M70" s="32">
        <f t="shared" si="11"/>
        <v>191</v>
      </c>
      <c r="N70" s="32" t="s">
        <v>1330</v>
      </c>
      <c r="O70" s="32"/>
      <c r="P70" s="42">
        <f t="shared" si="12"/>
        <v>190.99359999999999</v>
      </c>
      <c r="Q70" s="32">
        <f t="shared" si="13"/>
        <v>1</v>
      </c>
      <c r="R70" s="32">
        <f t="shared" ca="1" si="14"/>
        <v>0</v>
      </c>
      <c r="S70" s="33" t="s">
        <v>109</v>
      </c>
      <c r="T70" s="34">
        <f t="shared" si="15"/>
        <v>0</v>
      </c>
      <c r="U70" s="34">
        <f t="shared" ca="1" si="16"/>
        <v>0</v>
      </c>
      <c r="V70" s="34">
        <f>-SUMPRODUCT((S$6:S69=S70)*(X$6:X69=X70))</f>
        <v>0</v>
      </c>
      <c r="W70" s="34">
        <f>-SUMPRODUCT((S$6:S69=S70)*(X$6:X69=X70)*(B$6:B69&lt;&gt;"NS"))</f>
        <v>0</v>
      </c>
      <c r="X70" s="35">
        <f t="shared" si="17"/>
        <v>191.191</v>
      </c>
      <c r="Y70" s="29">
        <v>191</v>
      </c>
      <c r="Z70" s="29"/>
      <c r="AA70" s="29"/>
      <c r="AB70" s="29"/>
      <c r="AC70" s="29"/>
      <c r="AD70" s="29"/>
      <c r="AF70" s="36">
        <v>0</v>
      </c>
      <c r="AG70" s="36">
        <v>0</v>
      </c>
      <c r="AH70" s="36">
        <v>0</v>
      </c>
      <c r="AI70" s="36">
        <v>0</v>
      </c>
      <c r="AJ70" s="37">
        <v>1</v>
      </c>
      <c r="AK70" s="67">
        <v>190.99561</v>
      </c>
      <c r="AL70" s="39">
        <v>191</v>
      </c>
      <c r="AM70" s="32">
        <v>382</v>
      </c>
      <c r="AN70" s="39"/>
      <c r="AO70" s="39"/>
      <c r="AP70" s="39"/>
      <c r="AQ70" s="30"/>
      <c r="AR70" s="26"/>
      <c r="AS70" s="1"/>
    </row>
    <row r="71" spans="1:45">
      <c r="A71" s="1">
        <v>22</v>
      </c>
      <c r="B71" s="1">
        <v>22</v>
      </c>
      <c r="C71" s="40">
        <f t="shared" si="10"/>
        <v>22</v>
      </c>
      <c r="D71" s="40">
        <f t="shared" si="10"/>
        <v>22</v>
      </c>
      <c r="E71" s="1" t="s">
        <v>750</v>
      </c>
      <c r="F71" s="29" t="s">
        <v>53</v>
      </c>
      <c r="G71" s="29"/>
      <c r="H71" s="29"/>
      <c r="I71" s="29"/>
      <c r="J71" s="29">
        <v>189</v>
      </c>
      <c r="K71" s="29"/>
      <c r="L71" s="29"/>
      <c r="M71" s="32">
        <f t="shared" si="11"/>
        <v>189</v>
      </c>
      <c r="N71" s="32" t="s">
        <v>1330</v>
      </c>
      <c r="O71" s="32"/>
      <c r="P71" s="42">
        <f t="shared" si="12"/>
        <v>188.99350000000001</v>
      </c>
      <c r="Q71" s="32">
        <f t="shared" si="13"/>
        <v>1</v>
      </c>
      <c r="R71" s="32">
        <f t="shared" ca="1" si="14"/>
        <v>0</v>
      </c>
      <c r="S71" s="33" t="s">
        <v>109</v>
      </c>
      <c r="T71" s="34">
        <f t="shared" si="15"/>
        <v>0</v>
      </c>
      <c r="U71" s="34">
        <f t="shared" ca="1" si="16"/>
        <v>0</v>
      </c>
      <c r="V71" s="34">
        <f>-SUMPRODUCT((S$6:S70=S71)*(X$6:X70=X71))</f>
        <v>0</v>
      </c>
      <c r="W71" s="34">
        <f>-SUMPRODUCT((S$6:S70=S71)*(X$6:X70=X71)*(B$6:B70&lt;&gt;"NS"))</f>
        <v>0</v>
      </c>
      <c r="X71" s="35">
        <f t="shared" si="17"/>
        <v>189.18899999999999</v>
      </c>
      <c r="Y71" s="29">
        <v>189</v>
      </c>
      <c r="Z71" s="29"/>
      <c r="AA71" s="29"/>
      <c r="AB71" s="29"/>
      <c r="AC71" s="29"/>
      <c r="AD71" s="29"/>
      <c r="AF71" s="36">
        <v>0</v>
      </c>
      <c r="AG71" s="36">
        <v>0</v>
      </c>
      <c r="AH71" s="36">
        <v>0</v>
      </c>
      <c r="AI71" s="36">
        <v>0</v>
      </c>
      <c r="AJ71" s="37">
        <v>1</v>
      </c>
      <c r="AK71" s="67">
        <v>188.99548999999999</v>
      </c>
      <c r="AL71" s="39">
        <v>189</v>
      </c>
      <c r="AM71" s="32">
        <v>378</v>
      </c>
      <c r="AN71" s="39"/>
      <c r="AO71" s="39"/>
      <c r="AP71" s="39"/>
      <c r="AQ71" s="30"/>
      <c r="AR71" s="26"/>
      <c r="AS71" s="1"/>
    </row>
    <row r="72" spans="1:45">
      <c r="A72" s="1">
        <v>23</v>
      </c>
      <c r="B72" s="1">
        <v>23</v>
      </c>
      <c r="C72" s="40">
        <f t="shared" si="10"/>
        <v>23</v>
      </c>
      <c r="D72" s="40">
        <f t="shared" si="10"/>
        <v>23</v>
      </c>
      <c r="E72" s="1" t="s">
        <v>751</v>
      </c>
      <c r="F72" s="29" t="s">
        <v>162</v>
      </c>
      <c r="G72" s="29"/>
      <c r="H72" s="29"/>
      <c r="I72" s="29"/>
      <c r="J72" s="29">
        <v>156</v>
      </c>
      <c r="K72" s="29"/>
      <c r="L72" s="29"/>
      <c r="M72" s="32">
        <f t="shared" si="11"/>
        <v>156</v>
      </c>
      <c r="N72" s="32" t="s">
        <v>1330</v>
      </c>
      <c r="O72" s="32"/>
      <c r="P72" s="42">
        <f t="shared" si="12"/>
        <v>155.99340000000001</v>
      </c>
      <c r="Q72" s="32">
        <f t="shared" si="13"/>
        <v>1</v>
      </c>
      <c r="R72" s="32">
        <f t="shared" ca="1" si="14"/>
        <v>0</v>
      </c>
      <c r="S72" s="33" t="s">
        <v>109</v>
      </c>
      <c r="T72" s="34">
        <f t="shared" si="15"/>
        <v>0</v>
      </c>
      <c r="U72" s="34">
        <f t="shared" ca="1" si="16"/>
        <v>0</v>
      </c>
      <c r="V72" s="34">
        <f>-SUMPRODUCT((S$6:S71=S72)*(X$6:X71=X72))</f>
        <v>0</v>
      </c>
      <c r="W72" s="34">
        <f>-SUMPRODUCT((S$6:S71=S72)*(X$6:X71=X72)*(B$6:B71&lt;&gt;"NS"))</f>
        <v>0</v>
      </c>
      <c r="X72" s="35">
        <f t="shared" si="17"/>
        <v>156.15600000000001</v>
      </c>
      <c r="Y72" s="29">
        <v>156</v>
      </c>
      <c r="Z72" s="29"/>
      <c r="AA72" s="29"/>
      <c r="AB72" s="29"/>
      <c r="AC72" s="29"/>
      <c r="AD72" s="29"/>
      <c r="AF72" s="36">
        <v>0</v>
      </c>
      <c r="AG72" s="36">
        <v>0</v>
      </c>
      <c r="AH72" s="36">
        <v>0</v>
      </c>
      <c r="AI72" s="36">
        <v>0</v>
      </c>
      <c r="AJ72" s="37">
        <v>1</v>
      </c>
      <c r="AK72" s="67">
        <v>155.99496000000002</v>
      </c>
      <c r="AL72" s="39">
        <v>156</v>
      </c>
      <c r="AM72" s="32">
        <v>312</v>
      </c>
      <c r="AN72" s="39"/>
      <c r="AO72" s="39"/>
      <c r="AP72" s="39"/>
      <c r="AQ72" s="30"/>
      <c r="AR72" s="26"/>
      <c r="AS72" s="1"/>
    </row>
    <row r="73" spans="1:45">
      <c r="A73" s="1">
        <v>24</v>
      </c>
      <c r="B73" s="1">
        <v>24</v>
      </c>
      <c r="C73" s="40">
        <f t="shared" si="10"/>
        <v>24</v>
      </c>
      <c r="D73" s="40">
        <f t="shared" si="10"/>
        <v>24</v>
      </c>
      <c r="E73" s="1" t="s">
        <v>752</v>
      </c>
      <c r="F73" s="29" t="s">
        <v>61</v>
      </c>
      <c r="G73" s="29">
        <v>20</v>
      </c>
      <c r="H73" s="29">
        <v>68</v>
      </c>
      <c r="I73" s="29">
        <v>65</v>
      </c>
      <c r="J73" s="29"/>
      <c r="K73" s="29"/>
      <c r="L73" s="29"/>
      <c r="M73" s="32">
        <f t="shared" si="11"/>
        <v>153</v>
      </c>
      <c r="N73" s="32" t="s">
        <v>1330</v>
      </c>
      <c r="O73" s="32"/>
      <c r="P73" s="42">
        <f t="shared" si="12"/>
        <v>152.9933</v>
      </c>
      <c r="Q73" s="32">
        <f t="shared" si="13"/>
        <v>3</v>
      </c>
      <c r="R73" s="32">
        <f t="shared" ca="1" si="14"/>
        <v>0</v>
      </c>
      <c r="S73" s="33" t="s">
        <v>109</v>
      </c>
      <c r="T73" s="34">
        <f t="shared" si="15"/>
        <v>0</v>
      </c>
      <c r="U73" s="34">
        <f t="shared" ca="1" si="16"/>
        <v>0</v>
      </c>
      <c r="V73" s="34">
        <f>-SUMPRODUCT((S$6:S72=S73)*(X$6:X72=X73))</f>
        <v>0</v>
      </c>
      <c r="W73" s="34">
        <f>-SUMPRODUCT((S$6:S72=S73)*(X$6:X72=X73)*(B$6:B72&lt;&gt;"NS"))</f>
        <v>0</v>
      </c>
      <c r="X73" s="35">
        <f t="shared" si="17"/>
        <v>153.07470000000001</v>
      </c>
      <c r="Y73" s="29">
        <v>68</v>
      </c>
      <c r="Z73" s="29">
        <v>65</v>
      </c>
      <c r="AA73" s="29">
        <v>20</v>
      </c>
      <c r="AB73" s="29"/>
      <c r="AC73" s="29"/>
      <c r="AD73" s="29"/>
      <c r="AF73" s="36">
        <v>0</v>
      </c>
      <c r="AG73" s="36">
        <v>0</v>
      </c>
      <c r="AH73" s="36">
        <v>0</v>
      </c>
      <c r="AI73" s="36">
        <v>0</v>
      </c>
      <c r="AJ73" s="37">
        <v>3</v>
      </c>
      <c r="AK73" s="67">
        <v>153.02075000000002</v>
      </c>
      <c r="AL73" s="39">
        <v>68</v>
      </c>
      <c r="AM73" s="32">
        <v>201</v>
      </c>
      <c r="AN73" s="39"/>
      <c r="AO73" s="39"/>
      <c r="AP73" s="39"/>
      <c r="AQ73" s="30"/>
      <c r="AR73" s="26"/>
      <c r="AS73" s="1"/>
    </row>
    <row r="74" spans="1:45">
      <c r="A74" s="1">
        <v>25</v>
      </c>
      <c r="B74" s="1">
        <v>25</v>
      </c>
      <c r="C74" s="40">
        <f t="shared" si="10"/>
        <v>25</v>
      </c>
      <c r="D74" s="40">
        <f t="shared" si="10"/>
        <v>25</v>
      </c>
      <c r="E74" s="1" t="s">
        <v>753</v>
      </c>
      <c r="F74" s="29" t="s">
        <v>47</v>
      </c>
      <c r="G74" s="29"/>
      <c r="H74" s="29">
        <v>150</v>
      </c>
      <c r="I74" s="29"/>
      <c r="J74" s="29"/>
      <c r="K74" s="29"/>
      <c r="L74" s="29"/>
      <c r="M74" s="32">
        <f t="shared" si="11"/>
        <v>150</v>
      </c>
      <c r="N74" s="32" t="s">
        <v>1330</v>
      </c>
      <c r="O74" s="32"/>
      <c r="P74" s="42">
        <f t="shared" si="12"/>
        <v>149.9932</v>
      </c>
      <c r="Q74" s="32">
        <f t="shared" si="13"/>
        <v>1</v>
      </c>
      <c r="R74" s="32">
        <f t="shared" ca="1" si="14"/>
        <v>0</v>
      </c>
      <c r="S74" s="33" t="s">
        <v>109</v>
      </c>
      <c r="T74" s="34">
        <f t="shared" si="15"/>
        <v>0</v>
      </c>
      <c r="U74" s="34">
        <f t="shared" ca="1" si="16"/>
        <v>0</v>
      </c>
      <c r="V74" s="34">
        <f>-SUMPRODUCT((S$6:S73=S74)*(X$6:X73=X74))</f>
        <v>0</v>
      </c>
      <c r="W74" s="34">
        <f>-SUMPRODUCT((S$6:S73=S74)*(X$6:X73=X74)*(B$6:B73&lt;&gt;"NS"))</f>
        <v>0</v>
      </c>
      <c r="X74" s="35">
        <f t="shared" si="17"/>
        <v>150.15</v>
      </c>
      <c r="Y74" s="29">
        <v>150</v>
      </c>
      <c r="Z74" s="29"/>
      <c r="AA74" s="29"/>
      <c r="AB74" s="29"/>
      <c r="AC74" s="29"/>
      <c r="AD74" s="29"/>
      <c r="AF74" s="36">
        <v>0</v>
      </c>
      <c r="AG74" s="36">
        <v>0</v>
      </c>
      <c r="AH74" s="36">
        <v>0</v>
      </c>
      <c r="AI74" s="36">
        <v>0</v>
      </c>
      <c r="AJ74" s="37">
        <v>1</v>
      </c>
      <c r="AK74" s="67">
        <v>150.00819999999999</v>
      </c>
      <c r="AL74" s="39">
        <v>150</v>
      </c>
      <c r="AM74" s="32">
        <v>300</v>
      </c>
      <c r="AN74" s="39"/>
      <c r="AO74" s="39"/>
      <c r="AP74" s="39"/>
      <c r="AQ74" s="30"/>
      <c r="AR74" s="26"/>
      <c r="AS74" s="1"/>
    </row>
    <row r="75" spans="1:45">
      <c r="A75" s="1">
        <v>26</v>
      </c>
      <c r="B75" s="1">
        <v>26</v>
      </c>
      <c r="C75" s="40">
        <f t="shared" si="10"/>
        <v>26</v>
      </c>
      <c r="D75" s="40">
        <f t="shared" si="10"/>
        <v>26</v>
      </c>
      <c r="E75" s="1" t="s">
        <v>754</v>
      </c>
      <c r="F75" s="29" t="s">
        <v>50</v>
      </c>
      <c r="G75" s="29">
        <v>122</v>
      </c>
      <c r="H75" s="29"/>
      <c r="I75" s="29"/>
      <c r="J75" s="29"/>
      <c r="K75" s="29"/>
      <c r="L75" s="29"/>
      <c r="M75" s="32">
        <f t="shared" si="11"/>
        <v>122</v>
      </c>
      <c r="N75" s="32" t="s">
        <v>1330</v>
      </c>
      <c r="O75" s="32"/>
      <c r="P75" s="42">
        <f t="shared" si="12"/>
        <v>121.9931</v>
      </c>
      <c r="Q75" s="32">
        <f t="shared" si="13"/>
        <v>1</v>
      </c>
      <c r="R75" s="32">
        <f t="shared" ca="1" si="14"/>
        <v>0</v>
      </c>
      <c r="S75" s="33" t="s">
        <v>109</v>
      </c>
      <c r="T75" s="34">
        <f t="shared" si="15"/>
        <v>0</v>
      </c>
      <c r="U75" s="34">
        <f t="shared" ca="1" si="16"/>
        <v>0</v>
      </c>
      <c r="V75" s="34">
        <f>-SUMPRODUCT((S$6:S74=S75)*(X$6:X74=X75))</f>
        <v>0</v>
      </c>
      <c r="W75" s="34">
        <f>-SUMPRODUCT((S$6:S74=S75)*(X$6:X74=X75)*(B$6:B74&lt;&gt;"NS"))</f>
        <v>0</v>
      </c>
      <c r="X75" s="35">
        <f t="shared" si="17"/>
        <v>122.122</v>
      </c>
      <c r="Y75" s="29">
        <v>122</v>
      </c>
      <c r="Z75" s="29"/>
      <c r="AA75" s="29"/>
      <c r="AB75" s="29"/>
      <c r="AC75" s="29"/>
      <c r="AD75" s="29"/>
      <c r="AF75" s="36">
        <v>0</v>
      </c>
      <c r="AG75" s="36">
        <v>0</v>
      </c>
      <c r="AH75" s="36">
        <v>0</v>
      </c>
      <c r="AI75" s="36">
        <v>0</v>
      </c>
      <c r="AJ75" s="37">
        <v>1</v>
      </c>
      <c r="AK75" s="67">
        <v>122.1151</v>
      </c>
      <c r="AL75" s="39">
        <v>122</v>
      </c>
      <c r="AM75" s="32">
        <v>244</v>
      </c>
      <c r="AN75" s="39"/>
      <c r="AO75" s="39"/>
      <c r="AP75" s="39"/>
      <c r="AQ75" s="30"/>
      <c r="AR75" s="26"/>
      <c r="AS75" s="1"/>
    </row>
    <row r="76" spans="1:45">
      <c r="A76" s="1">
        <v>27</v>
      </c>
      <c r="B76" s="1">
        <v>27</v>
      </c>
      <c r="C76" s="40">
        <f t="shared" si="10"/>
        <v>27</v>
      </c>
      <c r="D76" s="40">
        <f t="shared" si="10"/>
        <v>27</v>
      </c>
      <c r="E76" s="1" t="s">
        <v>755</v>
      </c>
      <c r="F76" s="29" t="s">
        <v>118</v>
      </c>
      <c r="G76" s="29">
        <v>101</v>
      </c>
      <c r="H76" s="29"/>
      <c r="I76" s="29"/>
      <c r="J76" s="29"/>
      <c r="K76" s="29"/>
      <c r="L76" s="29"/>
      <c r="M76" s="32">
        <f t="shared" si="11"/>
        <v>101</v>
      </c>
      <c r="N76" s="32" t="s">
        <v>1330</v>
      </c>
      <c r="O76" s="32"/>
      <c r="P76" s="42">
        <f t="shared" si="12"/>
        <v>100.99299999999999</v>
      </c>
      <c r="Q76" s="32">
        <f t="shared" si="13"/>
        <v>1</v>
      </c>
      <c r="R76" s="32">
        <f t="shared" ca="1" si="14"/>
        <v>0</v>
      </c>
      <c r="S76" s="33" t="s">
        <v>109</v>
      </c>
      <c r="T76" s="34">
        <f t="shared" si="15"/>
        <v>0</v>
      </c>
      <c r="U76" s="34">
        <f t="shared" ca="1" si="16"/>
        <v>0</v>
      </c>
      <c r="V76" s="34">
        <f>-SUMPRODUCT((S$6:S75=S76)*(X$6:X75=X76))</f>
        <v>0</v>
      </c>
      <c r="W76" s="34">
        <f>-SUMPRODUCT((S$6:S75=S76)*(X$6:X75=X76)*(B$6:B75&lt;&gt;"NS"))</f>
        <v>0</v>
      </c>
      <c r="X76" s="35">
        <f t="shared" si="17"/>
        <v>101.101</v>
      </c>
      <c r="Y76" s="29">
        <v>101</v>
      </c>
      <c r="Z76" s="29"/>
      <c r="AA76" s="29"/>
      <c r="AB76" s="29"/>
      <c r="AC76" s="29"/>
      <c r="AD76" s="29"/>
      <c r="AF76" s="36">
        <v>0</v>
      </c>
      <c r="AG76" s="36">
        <v>0</v>
      </c>
      <c r="AH76" s="36">
        <v>0</v>
      </c>
      <c r="AI76" s="36">
        <v>0</v>
      </c>
      <c r="AJ76" s="37">
        <v>1</v>
      </c>
      <c r="AK76" s="67">
        <v>101.09399999999999</v>
      </c>
      <c r="AL76" s="39">
        <v>101</v>
      </c>
      <c r="AM76" s="32">
        <v>202</v>
      </c>
      <c r="AN76" s="39"/>
      <c r="AO76" s="39"/>
      <c r="AP76" s="39"/>
      <c r="AQ76" s="30"/>
      <c r="AR76" s="26"/>
      <c r="AS76" s="1"/>
    </row>
    <row r="77" spans="1:45">
      <c r="A77" s="1">
        <v>28</v>
      </c>
      <c r="B77" s="1">
        <v>28</v>
      </c>
      <c r="C77" s="40">
        <f t="shared" si="10"/>
        <v>28</v>
      </c>
      <c r="D77" s="40">
        <f t="shared" si="10"/>
        <v>28</v>
      </c>
      <c r="E77" s="1" t="s">
        <v>756</v>
      </c>
      <c r="F77" s="29" t="s">
        <v>66</v>
      </c>
      <c r="G77" s="29">
        <v>94</v>
      </c>
      <c r="H77" s="29"/>
      <c r="I77" s="29"/>
      <c r="J77" s="29"/>
      <c r="K77" s="29"/>
      <c r="L77" s="29"/>
      <c r="M77" s="32">
        <f t="shared" si="11"/>
        <v>94</v>
      </c>
      <c r="N77" s="32" t="s">
        <v>1330</v>
      </c>
      <c r="O77" s="32"/>
      <c r="P77" s="42">
        <f t="shared" si="12"/>
        <v>93.992900000000006</v>
      </c>
      <c r="Q77" s="32">
        <f t="shared" si="13"/>
        <v>1</v>
      </c>
      <c r="R77" s="32">
        <f t="shared" ca="1" si="14"/>
        <v>0</v>
      </c>
      <c r="S77" s="33" t="s">
        <v>109</v>
      </c>
      <c r="T77" s="34">
        <f t="shared" si="15"/>
        <v>0</v>
      </c>
      <c r="U77" s="34">
        <f t="shared" ca="1" si="16"/>
        <v>0</v>
      </c>
      <c r="V77" s="34">
        <f>-SUMPRODUCT((S$6:S76=S77)*(X$6:X76=X77))</f>
        <v>0</v>
      </c>
      <c r="W77" s="34">
        <f>-SUMPRODUCT((S$6:S76=S77)*(X$6:X76=X77)*(B$6:B76&lt;&gt;"NS"))</f>
        <v>0</v>
      </c>
      <c r="X77" s="35">
        <f t="shared" si="17"/>
        <v>94.093999999999994</v>
      </c>
      <c r="Y77" s="29">
        <v>94</v>
      </c>
      <c r="Z77" s="29"/>
      <c r="AA77" s="29"/>
      <c r="AB77" s="29"/>
      <c r="AC77" s="29"/>
      <c r="AD77" s="29"/>
      <c r="AF77" s="36">
        <v>0</v>
      </c>
      <c r="AG77" s="36">
        <v>0</v>
      </c>
      <c r="AH77" s="36">
        <v>0</v>
      </c>
      <c r="AI77" s="36">
        <v>0</v>
      </c>
      <c r="AJ77" s="37">
        <v>1</v>
      </c>
      <c r="AK77" s="67">
        <v>94.0869</v>
      </c>
      <c r="AL77" s="39">
        <v>94</v>
      </c>
      <c r="AM77" s="32">
        <v>188</v>
      </c>
      <c r="AN77" s="39"/>
      <c r="AO77" s="39"/>
      <c r="AP77" s="39"/>
      <c r="AQ77" s="30"/>
      <c r="AR77" s="26"/>
      <c r="AS77" s="1"/>
    </row>
    <row r="78" spans="1:45">
      <c r="A78" s="1">
        <v>29</v>
      </c>
      <c r="B78" s="1">
        <v>29</v>
      </c>
      <c r="C78" s="40">
        <f t="shared" si="10"/>
        <v>29</v>
      </c>
      <c r="D78" s="40">
        <f t="shared" si="10"/>
        <v>29</v>
      </c>
      <c r="E78" s="1" t="s">
        <v>757</v>
      </c>
      <c r="F78" s="29" t="s">
        <v>29</v>
      </c>
      <c r="G78" s="29">
        <v>89</v>
      </c>
      <c r="H78" s="29"/>
      <c r="I78" s="29"/>
      <c r="J78" s="29"/>
      <c r="K78" s="29"/>
      <c r="L78" s="29"/>
      <c r="M78" s="32">
        <f t="shared" si="11"/>
        <v>89</v>
      </c>
      <c r="N78" s="32" t="s">
        <v>1330</v>
      </c>
      <c r="O78" s="32"/>
      <c r="P78" s="42">
        <f t="shared" si="12"/>
        <v>88.992800000000003</v>
      </c>
      <c r="Q78" s="32">
        <f t="shared" si="13"/>
        <v>1</v>
      </c>
      <c r="R78" s="32">
        <f t="shared" ca="1" si="14"/>
        <v>0</v>
      </c>
      <c r="S78" s="33" t="s">
        <v>109</v>
      </c>
      <c r="T78" s="34">
        <f t="shared" si="15"/>
        <v>0</v>
      </c>
      <c r="U78" s="34">
        <f t="shared" ca="1" si="16"/>
        <v>0</v>
      </c>
      <c r="V78" s="34">
        <f>-SUMPRODUCT((S$6:S77=S78)*(X$6:X77=X78))</f>
        <v>0</v>
      </c>
      <c r="W78" s="34">
        <f>-SUMPRODUCT((S$6:S77=S78)*(X$6:X77=X78)*(B$6:B77&lt;&gt;"NS"))</f>
        <v>0</v>
      </c>
      <c r="X78" s="35">
        <f t="shared" si="17"/>
        <v>89.088999999999999</v>
      </c>
      <c r="Y78" s="29">
        <v>89</v>
      </c>
      <c r="Z78" s="29"/>
      <c r="AA78" s="29"/>
      <c r="AB78" s="29"/>
      <c r="AC78" s="29"/>
      <c r="AD78" s="29"/>
      <c r="AF78" s="36">
        <v>0</v>
      </c>
      <c r="AG78" s="36">
        <v>0</v>
      </c>
      <c r="AH78" s="36">
        <v>0</v>
      </c>
      <c r="AI78" s="36">
        <v>0</v>
      </c>
      <c r="AJ78" s="37">
        <v>1</v>
      </c>
      <c r="AK78" s="67">
        <v>89.081800000000001</v>
      </c>
      <c r="AL78" s="39">
        <v>89</v>
      </c>
      <c r="AM78" s="32">
        <v>178</v>
      </c>
      <c r="AN78" s="39"/>
      <c r="AO78" s="39"/>
      <c r="AP78" s="39"/>
      <c r="AQ78" s="30"/>
      <c r="AR78" s="26"/>
      <c r="AS78" s="1"/>
    </row>
    <row r="79" spans="1:45">
      <c r="A79" s="1">
        <v>30</v>
      </c>
      <c r="B79" s="1">
        <v>30</v>
      </c>
      <c r="C79" s="40">
        <f t="shared" si="10"/>
        <v>30</v>
      </c>
      <c r="D79" s="40">
        <f t="shared" si="10"/>
        <v>30</v>
      </c>
      <c r="E79" s="1" t="s">
        <v>758</v>
      </c>
      <c r="F79" s="29" t="s">
        <v>66</v>
      </c>
      <c r="G79" s="29">
        <v>7</v>
      </c>
      <c r="H79" s="29">
        <v>51</v>
      </c>
      <c r="I79" s="29"/>
      <c r="J79" s="29"/>
      <c r="K79" s="29"/>
      <c r="L79" s="29"/>
      <c r="M79" s="32">
        <f t="shared" si="11"/>
        <v>58</v>
      </c>
      <c r="N79" s="32" t="s">
        <v>1330</v>
      </c>
      <c r="O79" s="32"/>
      <c r="P79" s="42">
        <f t="shared" si="12"/>
        <v>57.992699999999999</v>
      </c>
      <c r="Q79" s="32">
        <f t="shared" si="13"/>
        <v>2</v>
      </c>
      <c r="R79" s="32">
        <f t="shared" ca="1" si="14"/>
        <v>0</v>
      </c>
      <c r="S79" s="33" t="s">
        <v>109</v>
      </c>
      <c r="T79" s="34">
        <f t="shared" si="15"/>
        <v>0</v>
      </c>
      <c r="U79" s="34">
        <f t="shared" ca="1" si="16"/>
        <v>0</v>
      </c>
      <c r="V79" s="34">
        <f>-SUMPRODUCT((S$6:S78=S79)*(X$6:X78=X79))</f>
        <v>0</v>
      </c>
      <c r="W79" s="34">
        <f>-SUMPRODUCT((S$6:S78=S79)*(X$6:X78=X79)*(B$6:B78&lt;&gt;"NS"))</f>
        <v>0</v>
      </c>
      <c r="X79" s="35">
        <f t="shared" si="17"/>
        <v>58.051699999999997</v>
      </c>
      <c r="Y79" s="29">
        <v>51</v>
      </c>
      <c r="Z79" s="29">
        <v>7</v>
      </c>
      <c r="AA79" s="29"/>
      <c r="AB79" s="29"/>
      <c r="AC79" s="29"/>
      <c r="AD79" s="29"/>
      <c r="AF79" s="36">
        <v>0</v>
      </c>
      <c r="AG79" s="36">
        <v>0</v>
      </c>
      <c r="AH79" s="36">
        <v>0</v>
      </c>
      <c r="AI79" s="36">
        <v>0</v>
      </c>
      <c r="AJ79" s="37">
        <v>2</v>
      </c>
      <c r="AK79" s="67">
        <v>58.004799999999996</v>
      </c>
      <c r="AL79" s="39">
        <v>51</v>
      </c>
      <c r="AM79" s="32">
        <v>109</v>
      </c>
      <c r="AN79" s="39"/>
      <c r="AO79" s="39"/>
      <c r="AP79" s="39"/>
      <c r="AQ79" s="30"/>
      <c r="AR79" s="26"/>
      <c r="AS79" s="1"/>
    </row>
    <row r="80" spans="1:45" ht="3" customHeight="1">
      <c r="A80" s="27"/>
      <c r="B80" s="27"/>
      <c r="C80" s="27"/>
      <c r="D80" s="27"/>
      <c r="F80" s="27"/>
      <c r="G80" s="27"/>
      <c r="H80" s="29"/>
      <c r="I80" s="29"/>
      <c r="J80" s="29"/>
      <c r="K80" s="29"/>
      <c r="L80" s="29"/>
      <c r="M80" s="32"/>
      <c r="N80" s="27"/>
      <c r="O80" s="27"/>
      <c r="P80" s="42"/>
      <c r="Q80" s="27"/>
      <c r="R80" s="27"/>
      <c r="T80" s="59"/>
      <c r="U80" s="59"/>
      <c r="V80" s="59"/>
      <c r="W80" s="59"/>
      <c r="X80" s="34"/>
      <c r="Y80" s="52"/>
      <c r="Z80" s="52"/>
      <c r="AA80" s="52"/>
      <c r="AB80" s="52"/>
      <c r="AC80" s="52"/>
      <c r="AD80" s="52"/>
      <c r="AJ80" s="63"/>
      <c r="AK80" s="63"/>
      <c r="AM80" s="26"/>
      <c r="AN80" s="39"/>
      <c r="AO80" s="39"/>
      <c r="AP80" s="39"/>
      <c r="AQ80" s="30"/>
      <c r="AR80" s="26"/>
      <c r="AS80" s="1"/>
    </row>
    <row r="81" spans="1:45">
      <c r="A81" s="27"/>
      <c r="B81" s="27"/>
      <c r="C81" s="27"/>
      <c r="D81" s="27"/>
      <c r="F81" s="27"/>
      <c r="G81" s="27"/>
      <c r="H81" s="29"/>
      <c r="I81" s="29"/>
      <c r="J81" s="29"/>
      <c r="K81" s="29"/>
      <c r="L81" s="29"/>
      <c r="M81" s="32"/>
      <c r="N81" s="27"/>
      <c r="O81" s="27"/>
      <c r="P81" s="42"/>
      <c r="Q81" s="27"/>
      <c r="R81" s="27"/>
      <c r="T81" s="59"/>
      <c r="U81" s="59"/>
      <c r="V81" s="59"/>
      <c r="W81" s="59"/>
      <c r="X81" s="34"/>
      <c r="Y81" s="52"/>
      <c r="Z81" s="52"/>
      <c r="AA81" s="52"/>
      <c r="AB81" s="52"/>
      <c r="AC81" s="52"/>
      <c r="AD81" s="52"/>
      <c r="AJ81" s="63"/>
      <c r="AK81" s="63"/>
      <c r="AM81" s="26"/>
      <c r="AN81" s="39"/>
      <c r="AO81" s="39"/>
      <c r="AP81" s="39"/>
      <c r="AQ81" s="30"/>
      <c r="AR81" s="26"/>
      <c r="AS81" s="1"/>
    </row>
    <row r="82" spans="1:45">
      <c r="E82" s="26" t="s">
        <v>151</v>
      </c>
      <c r="F82" s="27"/>
      <c r="G82" s="27"/>
      <c r="H82" s="27"/>
      <c r="I82" s="27"/>
      <c r="J82" s="27"/>
      <c r="K82" s="27"/>
      <c r="L82" s="27"/>
      <c r="M82" s="32"/>
      <c r="N82" s="27"/>
      <c r="O82" s="27"/>
      <c r="P82" s="42"/>
      <c r="Q82" s="27"/>
      <c r="R82" s="27"/>
      <c r="S82" s="52" t="str">
        <f>E82</f>
        <v>F40</v>
      </c>
      <c r="T82" s="59"/>
      <c r="U82" s="59"/>
      <c r="V82" s="59"/>
      <c r="W82" s="59"/>
      <c r="X82" s="34"/>
      <c r="Y82" s="27"/>
      <c r="Z82" s="52"/>
      <c r="AA82" s="52"/>
      <c r="AB82" s="52"/>
      <c r="AC82" s="52"/>
      <c r="AD82" s="52"/>
      <c r="AJ82" s="63"/>
      <c r="AK82" s="63"/>
      <c r="AM82" s="26"/>
      <c r="AN82" s="39">
        <v>571</v>
      </c>
      <c r="AO82" s="39">
        <v>549</v>
      </c>
      <c r="AP82" s="39">
        <v>524</v>
      </c>
      <c r="AQ82" s="30"/>
      <c r="AR82" s="26"/>
      <c r="AS82" s="1"/>
    </row>
    <row r="83" spans="1:45">
      <c r="A83" s="1">
        <v>1</v>
      </c>
      <c r="B83" s="1">
        <v>1</v>
      </c>
      <c r="C83" s="40">
        <f t="shared" ref="C83:D116" si="18">IF(OR(V83&lt;0,V84&lt;0),"="&amp;A83+V83&amp;" ",A83)</f>
        <v>1</v>
      </c>
      <c r="D83" s="40">
        <f t="shared" si="18"/>
        <v>1</v>
      </c>
      <c r="E83" s="1" t="s">
        <v>759</v>
      </c>
      <c r="F83" s="29" t="s">
        <v>61</v>
      </c>
      <c r="G83" s="29">
        <v>193</v>
      </c>
      <c r="H83" s="27">
        <v>190</v>
      </c>
      <c r="I83" s="27">
        <v>188</v>
      </c>
      <c r="J83" s="27"/>
      <c r="K83" s="27"/>
      <c r="L83" s="27"/>
      <c r="M83" s="32">
        <f t="shared" ref="M83:M116" si="19">IFERROR(LARGE(G83:L83,1),0)+IF($F$5&gt;=2,IFERROR(LARGE(G83:L83,2),0),0)+IF($F$5&gt;=3,IFERROR(LARGE(G83:L83,3),0),0)+IF($F$5&gt;=4,IFERROR(LARGE(G83:L83,4),0),0)+IF($F$5&gt;=5,IFERROR(LARGE(G83:L83,5),0),0)+IF($F$5&gt;=6,IFERROR(LARGE(G83:L83,6),0),0)</f>
        <v>571</v>
      </c>
      <c r="N83" s="32" t="s">
        <v>1330</v>
      </c>
      <c r="O83" s="32" t="s">
        <v>141</v>
      </c>
      <c r="P83" s="42">
        <f t="shared" ref="P83:P116" si="20">M83-(ROW(M83)-ROW(M$6))/10000</f>
        <v>570.9923</v>
      </c>
      <c r="Q83" s="32">
        <f t="shared" ref="Q83:Q116" si="21">COUNT(G83:L83)</f>
        <v>3</v>
      </c>
      <c r="R83" s="32">
        <f t="shared" ref="R83:R116" ca="1" si="22">IF(AND(Q83=1,OFFSET(F83,0,R$3)&gt;0),"Y",0)</f>
        <v>0</v>
      </c>
      <c r="S83" s="33" t="s">
        <v>151</v>
      </c>
      <c r="T83" s="34">
        <f t="shared" ref="T83:T116" si="23">1-(S83=S82)</f>
        <v>0</v>
      </c>
      <c r="U83" s="34">
        <f t="shared" ref="U83:U116" ca="1" si="24">OFFSET(F83,0,$R$3)</f>
        <v>0</v>
      </c>
      <c r="V83" s="34">
        <f>-SUMPRODUCT((S$6:S82=S83)*(X$6:X82=X83))</f>
        <v>0</v>
      </c>
      <c r="W83" s="34">
        <f>-SUMPRODUCT((S$6:S82=S83)*(X$6:X82=X83)*(B$6:B82&lt;&gt;"NS"))</f>
        <v>0</v>
      </c>
      <c r="X83" s="35">
        <f t="shared" ref="X83:X116" si="25">M83+SUMPRODUCT(Y$4:AD$4,Y83:AD83)</f>
        <v>571.21388000000002</v>
      </c>
      <c r="Y83" s="29">
        <v>193</v>
      </c>
      <c r="Z83" s="27">
        <v>190</v>
      </c>
      <c r="AA83" s="27">
        <v>188</v>
      </c>
      <c r="AB83" s="27"/>
      <c r="AC83" s="27"/>
      <c r="AD83" s="27"/>
      <c r="AF83" s="36">
        <v>0</v>
      </c>
      <c r="AG83" s="36">
        <v>0</v>
      </c>
      <c r="AH83" s="36">
        <v>0</v>
      </c>
      <c r="AI83" s="36">
        <v>0</v>
      </c>
      <c r="AJ83" s="37">
        <v>3</v>
      </c>
      <c r="AK83" s="67">
        <v>571.20618000000002</v>
      </c>
      <c r="AL83" s="39">
        <v>193</v>
      </c>
      <c r="AM83" s="32">
        <v>576</v>
      </c>
      <c r="AN83" s="39" t="s">
        <v>141</v>
      </c>
      <c r="AO83" s="39" t="s">
        <v>194</v>
      </c>
      <c r="AP83" s="39"/>
      <c r="AQ83" s="30"/>
      <c r="AR83" s="26"/>
      <c r="AS83" s="1"/>
    </row>
    <row r="84" spans="1:45">
      <c r="A84" s="1">
        <v>2</v>
      </c>
      <c r="B84" s="1">
        <v>2</v>
      </c>
      <c r="C84" s="40">
        <f t="shared" si="18"/>
        <v>2</v>
      </c>
      <c r="D84" s="40">
        <f t="shared" si="18"/>
        <v>2</v>
      </c>
      <c r="E84" s="1" t="s">
        <v>166</v>
      </c>
      <c r="F84" s="29" t="s">
        <v>50</v>
      </c>
      <c r="G84" s="29">
        <v>182</v>
      </c>
      <c r="H84" s="27">
        <v>170</v>
      </c>
      <c r="I84" s="27">
        <v>182</v>
      </c>
      <c r="J84" s="27">
        <v>185</v>
      </c>
      <c r="K84" s="27">
        <v>190</v>
      </c>
      <c r="L84" s="27"/>
      <c r="M84" s="32">
        <f t="shared" si="19"/>
        <v>557</v>
      </c>
      <c r="N84" s="32" t="s">
        <v>1330</v>
      </c>
      <c r="O84" s="32" t="s">
        <v>194</v>
      </c>
      <c r="P84" s="42">
        <f t="shared" si="20"/>
        <v>556.99220000000003</v>
      </c>
      <c r="Q84" s="32">
        <f t="shared" si="21"/>
        <v>5</v>
      </c>
      <c r="R84" s="32">
        <f t="shared" ca="1" si="22"/>
        <v>0</v>
      </c>
      <c r="S84" s="33" t="s">
        <v>151</v>
      </c>
      <c r="T84" s="34">
        <f t="shared" si="23"/>
        <v>0</v>
      </c>
      <c r="U84" s="34">
        <f t="shared" ca="1" si="24"/>
        <v>190</v>
      </c>
      <c r="V84" s="34">
        <f>-SUMPRODUCT((S$6:S83=S84)*(X$6:X83=X84))</f>
        <v>0</v>
      </c>
      <c r="W84" s="34">
        <f>-SUMPRODUCT((S$6:S83=S84)*(X$6:X83=X84)*(B$6:B83&lt;&gt;"NS"))</f>
        <v>0</v>
      </c>
      <c r="X84" s="35">
        <f t="shared" si="25"/>
        <v>557.21032000000002</v>
      </c>
      <c r="Y84" s="27">
        <v>190</v>
      </c>
      <c r="Z84" s="27">
        <v>185</v>
      </c>
      <c r="AA84" s="29">
        <v>182</v>
      </c>
      <c r="AB84" s="27">
        <v>182</v>
      </c>
      <c r="AC84" s="27">
        <v>170</v>
      </c>
      <c r="AD84" s="27"/>
      <c r="AF84" s="36">
        <v>0</v>
      </c>
      <c r="AG84" s="36">
        <v>0</v>
      </c>
      <c r="AH84" s="36">
        <v>0</v>
      </c>
      <c r="AI84" s="36">
        <v>0</v>
      </c>
      <c r="AJ84" s="37">
        <v>4</v>
      </c>
      <c r="AK84" s="67">
        <v>549.19323200000008</v>
      </c>
      <c r="AL84" s="39">
        <v>185</v>
      </c>
      <c r="AM84" s="32">
        <v>552</v>
      </c>
      <c r="AN84" s="39"/>
      <c r="AO84" s="39" t="s">
        <v>194</v>
      </c>
      <c r="AP84" s="39" t="s">
        <v>760</v>
      </c>
      <c r="AQ84" s="30"/>
      <c r="AR84" s="26"/>
      <c r="AS84" s="1"/>
    </row>
    <row r="85" spans="1:45">
      <c r="A85" s="1">
        <v>3</v>
      </c>
      <c r="B85" s="1">
        <v>3</v>
      </c>
      <c r="C85" s="40">
        <f t="shared" si="18"/>
        <v>3</v>
      </c>
      <c r="D85" s="40">
        <f t="shared" si="18"/>
        <v>3</v>
      </c>
      <c r="E85" s="1" t="s">
        <v>153</v>
      </c>
      <c r="F85" s="29" t="s">
        <v>66</v>
      </c>
      <c r="G85" s="29">
        <v>177</v>
      </c>
      <c r="H85" s="27"/>
      <c r="I85" s="27">
        <v>179</v>
      </c>
      <c r="J85" s="27">
        <v>168</v>
      </c>
      <c r="K85" s="27">
        <v>191</v>
      </c>
      <c r="L85" s="27"/>
      <c r="M85" s="32">
        <f t="shared" si="19"/>
        <v>547</v>
      </c>
      <c r="N85" s="32" t="s">
        <v>1330</v>
      </c>
      <c r="O85" s="32" t="s">
        <v>760</v>
      </c>
      <c r="P85" s="42">
        <f t="shared" si="20"/>
        <v>546.99210000000005</v>
      </c>
      <c r="Q85" s="32">
        <f t="shared" si="21"/>
        <v>4</v>
      </c>
      <c r="R85" s="32">
        <f t="shared" ca="1" si="22"/>
        <v>0</v>
      </c>
      <c r="S85" s="33" t="s">
        <v>151</v>
      </c>
      <c r="T85" s="34">
        <f t="shared" si="23"/>
        <v>0</v>
      </c>
      <c r="U85" s="34">
        <f t="shared" ca="1" si="24"/>
        <v>191</v>
      </c>
      <c r="V85" s="34">
        <f>-SUMPRODUCT((S$6:S84=S85)*(X$6:X84=X85))</f>
        <v>0</v>
      </c>
      <c r="W85" s="34">
        <f>-SUMPRODUCT((S$6:S84=S85)*(X$6:X84=X85)*(B$6:B84&lt;&gt;"NS"))</f>
        <v>0</v>
      </c>
      <c r="X85" s="35">
        <f t="shared" si="25"/>
        <v>547.21067000000005</v>
      </c>
      <c r="Y85" s="27">
        <v>191</v>
      </c>
      <c r="Z85" s="27">
        <v>179</v>
      </c>
      <c r="AA85" s="29">
        <v>177</v>
      </c>
      <c r="AB85" s="27">
        <v>168</v>
      </c>
      <c r="AC85" s="27"/>
      <c r="AD85" s="27"/>
      <c r="AF85" s="36">
        <v>0</v>
      </c>
      <c r="AG85" s="36">
        <v>0</v>
      </c>
      <c r="AH85" s="36">
        <v>0</v>
      </c>
      <c r="AI85" s="36">
        <v>0</v>
      </c>
      <c r="AJ85" s="37">
        <v>3</v>
      </c>
      <c r="AK85" s="67">
        <v>524.17105800000013</v>
      </c>
      <c r="AL85" s="39">
        <v>179</v>
      </c>
      <c r="AM85" s="32">
        <v>535</v>
      </c>
      <c r="AN85" s="39"/>
      <c r="AO85" s="39"/>
      <c r="AP85" s="39" t="s">
        <v>760</v>
      </c>
      <c r="AQ85" s="30"/>
      <c r="AR85" s="26"/>
      <c r="AS85" s="1"/>
    </row>
    <row r="86" spans="1:45">
      <c r="A86" s="1">
        <v>4</v>
      </c>
      <c r="B86" s="1">
        <v>4</v>
      </c>
      <c r="C86" s="40">
        <f t="shared" si="18"/>
        <v>4</v>
      </c>
      <c r="D86" s="40">
        <f t="shared" si="18"/>
        <v>4</v>
      </c>
      <c r="E86" s="1" t="s">
        <v>193</v>
      </c>
      <c r="F86" s="29" t="s">
        <v>50</v>
      </c>
      <c r="G86" s="29">
        <v>168</v>
      </c>
      <c r="H86" s="27">
        <v>175</v>
      </c>
      <c r="I86" s="27"/>
      <c r="J86" s="27">
        <v>175</v>
      </c>
      <c r="K86" s="27">
        <v>184</v>
      </c>
      <c r="L86" s="27"/>
      <c r="M86" s="32">
        <f t="shared" si="19"/>
        <v>534</v>
      </c>
      <c r="N86" s="32" t="s">
        <v>1330</v>
      </c>
      <c r="O86" s="32"/>
      <c r="P86" s="42">
        <f t="shared" si="20"/>
        <v>533.99199999999996</v>
      </c>
      <c r="Q86" s="32">
        <f t="shared" si="21"/>
        <v>4</v>
      </c>
      <c r="R86" s="32">
        <f t="shared" ca="1" si="22"/>
        <v>0</v>
      </c>
      <c r="S86" s="33" t="s">
        <v>151</v>
      </c>
      <c r="T86" s="34">
        <f t="shared" si="23"/>
        <v>0</v>
      </c>
      <c r="U86" s="34">
        <f t="shared" ca="1" si="24"/>
        <v>184</v>
      </c>
      <c r="V86" s="34">
        <f>-SUMPRODUCT((S$6:S85=S86)*(X$6:X85=X86))</f>
        <v>0</v>
      </c>
      <c r="W86" s="34">
        <f>-SUMPRODUCT((S$6:S85=S86)*(X$6:X85=X86)*(B$6:B85&lt;&gt;"NS"))</f>
        <v>0</v>
      </c>
      <c r="X86" s="35">
        <f t="shared" si="25"/>
        <v>534.20325000000003</v>
      </c>
      <c r="Y86" s="27">
        <v>184</v>
      </c>
      <c r="Z86" s="27">
        <v>175</v>
      </c>
      <c r="AA86" s="27">
        <v>175</v>
      </c>
      <c r="AB86" s="29">
        <v>168</v>
      </c>
      <c r="AC86" s="27"/>
      <c r="AD86" s="27"/>
      <c r="AF86" s="36">
        <v>0</v>
      </c>
      <c r="AG86" s="36">
        <v>0</v>
      </c>
      <c r="AH86" s="36">
        <v>0</v>
      </c>
      <c r="AI86" s="36">
        <v>0</v>
      </c>
      <c r="AJ86" s="37">
        <v>3</v>
      </c>
      <c r="AK86" s="67">
        <v>518.17925000000002</v>
      </c>
      <c r="AL86" s="39">
        <v>175</v>
      </c>
      <c r="AM86" s="32">
        <v>525</v>
      </c>
      <c r="AN86" s="39"/>
      <c r="AO86" s="39"/>
      <c r="AP86" s="39" t="s">
        <v>760</v>
      </c>
      <c r="AQ86" s="30"/>
      <c r="AR86" s="26"/>
      <c r="AS86" s="1"/>
    </row>
    <row r="87" spans="1:45">
      <c r="A87" s="1">
        <v>5</v>
      </c>
      <c r="B87" s="1">
        <v>5</v>
      </c>
      <c r="C87" s="40">
        <f t="shared" si="18"/>
        <v>5</v>
      </c>
      <c r="D87" s="40">
        <f t="shared" si="18"/>
        <v>5</v>
      </c>
      <c r="E87" s="1" t="s">
        <v>198</v>
      </c>
      <c r="F87" s="29" t="s">
        <v>50</v>
      </c>
      <c r="G87" s="29">
        <v>158</v>
      </c>
      <c r="H87" s="27">
        <v>157</v>
      </c>
      <c r="I87" s="27">
        <v>166</v>
      </c>
      <c r="J87" s="27"/>
      <c r="K87" s="27">
        <v>183</v>
      </c>
      <c r="L87" s="27"/>
      <c r="M87" s="32">
        <f t="shared" si="19"/>
        <v>507</v>
      </c>
      <c r="N87" s="32" t="s">
        <v>1330</v>
      </c>
      <c r="O87" s="32"/>
      <c r="P87" s="42">
        <f t="shared" si="20"/>
        <v>506.99189999999999</v>
      </c>
      <c r="Q87" s="32">
        <f t="shared" si="21"/>
        <v>4</v>
      </c>
      <c r="R87" s="32">
        <f t="shared" ca="1" si="22"/>
        <v>0</v>
      </c>
      <c r="S87" s="33" t="s">
        <v>151</v>
      </c>
      <c r="T87" s="34">
        <f t="shared" si="23"/>
        <v>0</v>
      </c>
      <c r="U87" s="34">
        <f t="shared" ca="1" si="24"/>
        <v>183</v>
      </c>
      <c r="V87" s="34">
        <f>-SUMPRODUCT((S$6:S86=S87)*(X$6:X86=X87))</f>
        <v>0</v>
      </c>
      <c r="W87" s="34">
        <f>-SUMPRODUCT((S$6:S86=S87)*(X$6:X86=X87)*(B$6:B86&lt;&gt;"NS"))</f>
        <v>0</v>
      </c>
      <c r="X87" s="35">
        <f t="shared" si="25"/>
        <v>507.20118000000002</v>
      </c>
      <c r="Y87" s="27">
        <v>183</v>
      </c>
      <c r="Z87" s="27">
        <v>166</v>
      </c>
      <c r="AA87" s="29">
        <v>158</v>
      </c>
      <c r="AB87" s="27">
        <v>157</v>
      </c>
      <c r="AC87" s="27"/>
      <c r="AD87" s="27"/>
      <c r="AF87" s="36">
        <v>0</v>
      </c>
      <c r="AG87" s="36">
        <v>0</v>
      </c>
      <c r="AH87" s="36">
        <v>0</v>
      </c>
      <c r="AI87" s="36">
        <v>0</v>
      </c>
      <c r="AJ87" s="37">
        <v>3</v>
      </c>
      <c r="AK87" s="67">
        <v>481.16726</v>
      </c>
      <c r="AL87" s="39">
        <v>166</v>
      </c>
      <c r="AM87" s="32">
        <v>490</v>
      </c>
      <c r="AN87" s="39"/>
      <c r="AO87" s="39"/>
      <c r="AP87" s="39"/>
      <c r="AQ87" s="30"/>
      <c r="AR87" s="26"/>
      <c r="AS87" s="1"/>
    </row>
    <row r="88" spans="1:45">
      <c r="A88" s="1">
        <v>6</v>
      </c>
      <c r="B88" s="1">
        <v>6</v>
      </c>
      <c r="C88" s="40">
        <f t="shared" si="18"/>
        <v>6</v>
      </c>
      <c r="D88" s="40">
        <f t="shared" si="18"/>
        <v>6</v>
      </c>
      <c r="E88" s="1" t="s">
        <v>761</v>
      </c>
      <c r="F88" s="29" t="s">
        <v>25</v>
      </c>
      <c r="G88" s="29">
        <v>141</v>
      </c>
      <c r="H88" s="27"/>
      <c r="I88" s="27">
        <v>153</v>
      </c>
      <c r="J88" s="27">
        <v>155</v>
      </c>
      <c r="K88" s="27"/>
      <c r="L88" s="27"/>
      <c r="M88" s="32">
        <f t="shared" si="19"/>
        <v>449</v>
      </c>
      <c r="N88" s="32" t="s">
        <v>1330</v>
      </c>
      <c r="O88" s="32"/>
      <c r="P88" s="42">
        <f t="shared" si="20"/>
        <v>448.99180000000001</v>
      </c>
      <c r="Q88" s="32">
        <f t="shared" si="21"/>
        <v>3</v>
      </c>
      <c r="R88" s="32">
        <f t="shared" ca="1" si="22"/>
        <v>0</v>
      </c>
      <c r="S88" s="33" t="s">
        <v>151</v>
      </c>
      <c r="T88" s="34">
        <f t="shared" si="23"/>
        <v>0</v>
      </c>
      <c r="U88" s="34">
        <f t="shared" ca="1" si="24"/>
        <v>0</v>
      </c>
      <c r="V88" s="34">
        <f>-SUMPRODUCT((S$6:S87=S88)*(X$6:X87=X88))</f>
        <v>0</v>
      </c>
      <c r="W88" s="34">
        <f>-SUMPRODUCT((S$6:S87=S88)*(X$6:X87=X88)*(B$6:B87&lt;&gt;"NS"))</f>
        <v>0</v>
      </c>
      <c r="X88" s="35">
        <f t="shared" si="25"/>
        <v>449.17171000000002</v>
      </c>
      <c r="Y88" s="27">
        <v>155</v>
      </c>
      <c r="Z88" s="27">
        <v>153</v>
      </c>
      <c r="AA88" s="29">
        <v>141</v>
      </c>
      <c r="AB88" s="27"/>
      <c r="AC88" s="27"/>
      <c r="AD88" s="27"/>
      <c r="AF88" s="36">
        <v>0</v>
      </c>
      <c r="AG88" s="36">
        <v>0</v>
      </c>
      <c r="AH88" s="36">
        <v>0</v>
      </c>
      <c r="AI88" s="36">
        <v>0</v>
      </c>
      <c r="AJ88" s="37">
        <v>3</v>
      </c>
      <c r="AK88" s="67">
        <v>449.13450300000005</v>
      </c>
      <c r="AL88" s="39">
        <v>155</v>
      </c>
      <c r="AM88" s="32">
        <v>463</v>
      </c>
      <c r="AN88" s="39"/>
      <c r="AO88" s="39"/>
      <c r="AP88" s="39"/>
      <c r="AQ88" s="30"/>
      <c r="AR88" s="26"/>
      <c r="AS88" s="1"/>
    </row>
    <row r="89" spans="1:45">
      <c r="A89" s="1">
        <v>7</v>
      </c>
      <c r="B89" s="1">
        <v>7</v>
      </c>
      <c r="C89" s="40">
        <f t="shared" si="18"/>
        <v>7</v>
      </c>
      <c r="D89" s="40">
        <f t="shared" si="18"/>
        <v>7</v>
      </c>
      <c r="E89" s="1" t="s">
        <v>762</v>
      </c>
      <c r="F89" s="29" t="s">
        <v>134</v>
      </c>
      <c r="G89" s="29">
        <v>139</v>
      </c>
      <c r="H89" s="27">
        <v>147</v>
      </c>
      <c r="I89" s="27"/>
      <c r="J89" s="27">
        <v>161</v>
      </c>
      <c r="K89" s="27"/>
      <c r="L89" s="27"/>
      <c r="M89" s="32">
        <f t="shared" si="19"/>
        <v>447</v>
      </c>
      <c r="N89" s="32" t="s">
        <v>1330</v>
      </c>
      <c r="O89" s="32"/>
      <c r="P89" s="42">
        <f t="shared" si="20"/>
        <v>446.99169999999998</v>
      </c>
      <c r="Q89" s="32">
        <f t="shared" si="21"/>
        <v>3</v>
      </c>
      <c r="R89" s="32">
        <f t="shared" ca="1" si="22"/>
        <v>0</v>
      </c>
      <c r="S89" s="33" t="s">
        <v>151</v>
      </c>
      <c r="T89" s="34">
        <f t="shared" si="23"/>
        <v>0</v>
      </c>
      <c r="U89" s="34">
        <f t="shared" ca="1" si="24"/>
        <v>0</v>
      </c>
      <c r="V89" s="34">
        <f>-SUMPRODUCT((S$6:S88=S89)*(X$6:X88=X89))</f>
        <v>0</v>
      </c>
      <c r="W89" s="34">
        <f>-SUMPRODUCT((S$6:S88=S89)*(X$6:X88=X89)*(B$6:B88&lt;&gt;"NS"))</f>
        <v>0</v>
      </c>
      <c r="X89" s="35">
        <f t="shared" si="25"/>
        <v>447.17709000000002</v>
      </c>
      <c r="Y89" s="27">
        <v>161</v>
      </c>
      <c r="Z89" s="27">
        <v>147</v>
      </c>
      <c r="AA89" s="29">
        <v>139</v>
      </c>
      <c r="AB89" s="27"/>
      <c r="AC89" s="27"/>
      <c r="AD89" s="27"/>
      <c r="AF89" s="36">
        <v>0</v>
      </c>
      <c r="AG89" s="36">
        <v>0</v>
      </c>
      <c r="AH89" s="36">
        <v>0</v>
      </c>
      <c r="AI89" s="36">
        <v>0</v>
      </c>
      <c r="AJ89" s="37">
        <v>3</v>
      </c>
      <c r="AK89" s="67">
        <v>447.14701000000002</v>
      </c>
      <c r="AL89" s="39">
        <v>161</v>
      </c>
      <c r="AM89" s="32">
        <v>469</v>
      </c>
      <c r="AN89" s="39"/>
      <c r="AO89" s="39"/>
      <c r="AP89" s="39"/>
      <c r="AQ89" s="30"/>
      <c r="AR89" s="26"/>
      <c r="AS89" s="1"/>
    </row>
    <row r="90" spans="1:45">
      <c r="A90" s="1">
        <v>8</v>
      </c>
      <c r="B90" s="1">
        <v>8</v>
      </c>
      <c r="C90" s="40">
        <f t="shared" si="18"/>
        <v>8</v>
      </c>
      <c r="D90" s="40">
        <f t="shared" si="18"/>
        <v>8</v>
      </c>
      <c r="E90" s="1" t="s">
        <v>222</v>
      </c>
      <c r="F90" s="29" t="s">
        <v>19</v>
      </c>
      <c r="G90" s="29"/>
      <c r="H90" s="27"/>
      <c r="I90" s="27">
        <v>111</v>
      </c>
      <c r="J90" s="27">
        <v>146</v>
      </c>
      <c r="K90" s="27">
        <v>177</v>
      </c>
      <c r="L90" s="27"/>
      <c r="M90" s="32">
        <f t="shared" si="19"/>
        <v>434</v>
      </c>
      <c r="N90" s="32" t="s">
        <v>1330</v>
      </c>
      <c r="O90" s="32"/>
      <c r="P90" s="42">
        <f t="shared" si="20"/>
        <v>433.99160000000001</v>
      </c>
      <c r="Q90" s="32">
        <f t="shared" si="21"/>
        <v>3</v>
      </c>
      <c r="R90" s="32">
        <f t="shared" ca="1" si="22"/>
        <v>0</v>
      </c>
      <c r="S90" s="33" t="s">
        <v>151</v>
      </c>
      <c r="T90" s="34">
        <f t="shared" si="23"/>
        <v>0</v>
      </c>
      <c r="U90" s="34">
        <f t="shared" ca="1" si="24"/>
        <v>177</v>
      </c>
      <c r="V90" s="34">
        <f>-SUMPRODUCT((S$6:S89=S90)*(X$6:X89=X90))</f>
        <v>0</v>
      </c>
      <c r="W90" s="34">
        <f>-SUMPRODUCT((S$6:S89=S90)*(X$6:X89=X90)*(B$6:B89&lt;&gt;"NS"))</f>
        <v>0</v>
      </c>
      <c r="X90" s="35">
        <f t="shared" si="25"/>
        <v>434.19270999999998</v>
      </c>
      <c r="Y90" s="27">
        <v>177</v>
      </c>
      <c r="Z90" s="27">
        <v>146</v>
      </c>
      <c r="AA90" s="27">
        <v>111</v>
      </c>
      <c r="AB90" s="29"/>
      <c r="AC90" s="27"/>
      <c r="AD90" s="27"/>
      <c r="AF90" s="36">
        <v>0</v>
      </c>
      <c r="AG90" s="36">
        <v>0</v>
      </c>
      <c r="AH90" s="36">
        <v>0</v>
      </c>
      <c r="AI90" s="36">
        <v>0</v>
      </c>
      <c r="AJ90" s="37">
        <v>2</v>
      </c>
      <c r="AK90" s="67">
        <v>256.99217099999998</v>
      </c>
      <c r="AL90" s="39">
        <v>146</v>
      </c>
      <c r="AM90" s="32">
        <v>403</v>
      </c>
      <c r="AN90" s="39"/>
      <c r="AO90" s="39"/>
      <c r="AP90" s="39"/>
      <c r="AQ90" s="30"/>
      <c r="AR90" s="26"/>
      <c r="AS90" s="1"/>
    </row>
    <row r="91" spans="1:45">
      <c r="A91" s="1">
        <v>9</v>
      </c>
      <c r="B91" s="1">
        <v>9</v>
      </c>
      <c r="C91" s="40">
        <f t="shared" si="18"/>
        <v>9</v>
      </c>
      <c r="D91" s="40">
        <f t="shared" si="18"/>
        <v>9</v>
      </c>
      <c r="E91" s="1" t="s">
        <v>763</v>
      </c>
      <c r="F91" s="29" t="s">
        <v>29</v>
      </c>
      <c r="G91" s="29">
        <v>129</v>
      </c>
      <c r="H91" s="27">
        <v>139</v>
      </c>
      <c r="I91" s="27">
        <v>155</v>
      </c>
      <c r="J91" s="27"/>
      <c r="K91" s="27"/>
      <c r="L91" s="27"/>
      <c r="M91" s="32">
        <f t="shared" si="19"/>
        <v>423</v>
      </c>
      <c r="N91" s="32" t="s">
        <v>1330</v>
      </c>
      <c r="O91" s="32"/>
      <c r="P91" s="42">
        <f t="shared" si="20"/>
        <v>422.99149999999997</v>
      </c>
      <c r="Q91" s="32">
        <f t="shared" si="21"/>
        <v>3</v>
      </c>
      <c r="R91" s="32">
        <f t="shared" ca="1" si="22"/>
        <v>0</v>
      </c>
      <c r="S91" s="33" t="s">
        <v>151</v>
      </c>
      <c r="T91" s="34">
        <f t="shared" si="23"/>
        <v>0</v>
      </c>
      <c r="U91" s="34">
        <f t="shared" ca="1" si="24"/>
        <v>0</v>
      </c>
      <c r="V91" s="34">
        <f>-SUMPRODUCT((S$6:S90=S91)*(X$6:X90=X91))</f>
        <v>0</v>
      </c>
      <c r="W91" s="34">
        <f>-SUMPRODUCT((S$6:S90=S91)*(X$6:X90=X91)*(B$6:B90&lt;&gt;"NS"))</f>
        <v>0</v>
      </c>
      <c r="X91" s="35">
        <f t="shared" si="25"/>
        <v>423.17018999999999</v>
      </c>
      <c r="Y91" s="27">
        <v>155</v>
      </c>
      <c r="Z91" s="27">
        <v>139</v>
      </c>
      <c r="AA91" s="29">
        <v>129</v>
      </c>
      <c r="AB91" s="27"/>
      <c r="AC91" s="27"/>
      <c r="AD91" s="27"/>
      <c r="AF91" s="36">
        <v>0</v>
      </c>
      <c r="AG91" s="36">
        <v>0</v>
      </c>
      <c r="AH91" s="36">
        <v>0</v>
      </c>
      <c r="AI91" s="36">
        <v>0</v>
      </c>
      <c r="AJ91" s="37">
        <v>3</v>
      </c>
      <c r="AK91" s="67">
        <v>423.13605000000001</v>
      </c>
      <c r="AL91" s="39">
        <v>155</v>
      </c>
      <c r="AM91" s="32">
        <v>449</v>
      </c>
      <c r="AN91" s="39"/>
      <c r="AO91" s="39"/>
      <c r="AP91" s="39"/>
      <c r="AQ91" s="30"/>
      <c r="AR91" s="26"/>
      <c r="AS91" s="1"/>
    </row>
    <row r="92" spans="1:45">
      <c r="A92" s="1">
        <v>10</v>
      </c>
      <c r="B92" s="1">
        <v>10</v>
      </c>
      <c r="C92" s="40">
        <f t="shared" si="18"/>
        <v>10</v>
      </c>
      <c r="D92" s="40">
        <f t="shared" si="18"/>
        <v>10</v>
      </c>
      <c r="E92" s="1" t="s">
        <v>764</v>
      </c>
      <c r="F92" s="29" t="s">
        <v>252</v>
      </c>
      <c r="G92" s="29">
        <v>133</v>
      </c>
      <c r="H92" s="27"/>
      <c r="I92" s="27">
        <v>139</v>
      </c>
      <c r="J92" s="27">
        <v>142</v>
      </c>
      <c r="K92" s="27"/>
      <c r="L92" s="27"/>
      <c r="M92" s="32">
        <f t="shared" si="19"/>
        <v>414</v>
      </c>
      <c r="N92" s="32" t="s">
        <v>1330</v>
      </c>
      <c r="O92" s="32"/>
      <c r="P92" s="42">
        <f t="shared" si="20"/>
        <v>413.9914</v>
      </c>
      <c r="Q92" s="32">
        <f t="shared" si="21"/>
        <v>3</v>
      </c>
      <c r="R92" s="32">
        <f t="shared" ca="1" si="22"/>
        <v>0</v>
      </c>
      <c r="S92" s="33" t="s">
        <v>151</v>
      </c>
      <c r="T92" s="34">
        <f t="shared" si="23"/>
        <v>0</v>
      </c>
      <c r="U92" s="34">
        <f t="shared" ca="1" si="24"/>
        <v>0</v>
      </c>
      <c r="V92" s="34">
        <f>-SUMPRODUCT((S$6:S91=S92)*(X$6:X91=X92))</f>
        <v>0</v>
      </c>
      <c r="W92" s="34">
        <f>-SUMPRODUCT((S$6:S91=S92)*(X$6:X91=X92)*(B$6:B91&lt;&gt;"NS"))</f>
        <v>0</v>
      </c>
      <c r="X92" s="35">
        <f t="shared" si="25"/>
        <v>414.15723000000003</v>
      </c>
      <c r="Y92" s="27">
        <v>142</v>
      </c>
      <c r="Z92" s="27">
        <v>139</v>
      </c>
      <c r="AA92" s="29">
        <v>133</v>
      </c>
      <c r="AB92" s="27"/>
      <c r="AC92" s="27"/>
      <c r="AD92" s="27"/>
      <c r="AF92" s="36">
        <v>0</v>
      </c>
      <c r="AG92" s="36">
        <v>0</v>
      </c>
      <c r="AH92" s="36">
        <v>0</v>
      </c>
      <c r="AI92" s="36">
        <v>0</v>
      </c>
      <c r="AJ92" s="37">
        <v>3</v>
      </c>
      <c r="AK92" s="67">
        <v>414.12605899999994</v>
      </c>
      <c r="AL92" s="39">
        <v>142</v>
      </c>
      <c r="AM92" s="32">
        <v>423</v>
      </c>
      <c r="AN92" s="39"/>
      <c r="AO92" s="39"/>
      <c r="AP92" s="39"/>
      <c r="AQ92" s="30"/>
      <c r="AR92" s="26"/>
      <c r="AS92" s="1"/>
    </row>
    <row r="93" spans="1:45">
      <c r="A93" s="1">
        <v>11</v>
      </c>
      <c r="B93" s="1" t="s">
        <v>111</v>
      </c>
      <c r="C93" s="40">
        <f t="shared" si="18"/>
        <v>11</v>
      </c>
      <c r="D93" s="40" t="str">
        <f t="shared" si="18"/>
        <v>NS</v>
      </c>
      <c r="E93" s="1" t="s">
        <v>765</v>
      </c>
      <c r="F93" s="29" t="s">
        <v>201</v>
      </c>
      <c r="G93" s="29">
        <v>117</v>
      </c>
      <c r="H93" s="27">
        <v>135</v>
      </c>
      <c r="I93" s="27"/>
      <c r="J93" s="27">
        <v>158</v>
      </c>
      <c r="K93" s="27"/>
      <c r="L93" s="27"/>
      <c r="M93" s="32">
        <f t="shared" si="19"/>
        <v>410</v>
      </c>
      <c r="N93" s="32" t="s">
        <v>1331</v>
      </c>
      <c r="O93" s="32"/>
      <c r="P93" s="42">
        <f t="shared" si="20"/>
        <v>409.99130000000002</v>
      </c>
      <c r="Q93" s="32">
        <f t="shared" si="21"/>
        <v>3</v>
      </c>
      <c r="R93" s="32">
        <f t="shared" ca="1" si="22"/>
        <v>0</v>
      </c>
      <c r="S93" s="33" t="s">
        <v>151</v>
      </c>
      <c r="T93" s="34">
        <f t="shared" si="23"/>
        <v>0</v>
      </c>
      <c r="U93" s="34">
        <f t="shared" ca="1" si="24"/>
        <v>0</v>
      </c>
      <c r="V93" s="34">
        <f>-SUMPRODUCT((S$6:S92=S93)*(X$6:X92=X93))</f>
        <v>0</v>
      </c>
      <c r="W93" s="34">
        <f>-SUMPRODUCT((S$6:S92=S93)*(X$6:X92=X93)*(B$6:B92&lt;&gt;"NS"))</f>
        <v>0</v>
      </c>
      <c r="X93" s="35">
        <f t="shared" si="25"/>
        <v>410.17266999999998</v>
      </c>
      <c r="Y93" s="27">
        <v>158</v>
      </c>
      <c r="Z93" s="27">
        <v>135</v>
      </c>
      <c r="AA93" s="29">
        <v>117</v>
      </c>
      <c r="AB93" s="27"/>
      <c r="AC93" s="27"/>
      <c r="AD93" s="27"/>
      <c r="AF93" s="36">
        <v>0</v>
      </c>
      <c r="AG93" s="36">
        <v>0</v>
      </c>
      <c r="AH93" s="36">
        <v>0</v>
      </c>
      <c r="AI93" s="36">
        <v>0</v>
      </c>
      <c r="AJ93" s="37">
        <v>3</v>
      </c>
      <c r="AK93" s="67">
        <v>410.12348000000003</v>
      </c>
      <c r="AL93" s="39">
        <v>158</v>
      </c>
      <c r="AM93" s="32">
        <v>0</v>
      </c>
      <c r="AN93" s="39"/>
      <c r="AO93" s="39"/>
      <c r="AP93" s="39"/>
      <c r="AQ93" s="30"/>
      <c r="AR93" s="26"/>
      <c r="AS93" s="1"/>
    </row>
    <row r="94" spans="1:45">
      <c r="A94" s="1">
        <v>12</v>
      </c>
      <c r="B94" s="1">
        <v>11</v>
      </c>
      <c r="C94" s="40">
        <f t="shared" si="18"/>
        <v>12</v>
      </c>
      <c r="D94" s="40">
        <f t="shared" si="18"/>
        <v>11</v>
      </c>
      <c r="E94" s="1" t="s">
        <v>766</v>
      </c>
      <c r="F94" s="29" t="s">
        <v>19</v>
      </c>
      <c r="G94" s="29">
        <v>194</v>
      </c>
      <c r="H94" s="27"/>
      <c r="I94" s="27">
        <v>196</v>
      </c>
      <c r="J94" s="27"/>
      <c r="K94" s="27"/>
      <c r="L94" s="27"/>
      <c r="M94" s="32">
        <f t="shared" si="19"/>
        <v>390</v>
      </c>
      <c r="N94" s="32" t="s">
        <v>1330</v>
      </c>
      <c r="O94" s="32"/>
      <c r="P94" s="42">
        <f t="shared" si="20"/>
        <v>389.99119999999999</v>
      </c>
      <c r="Q94" s="32">
        <f t="shared" si="21"/>
        <v>2</v>
      </c>
      <c r="R94" s="32">
        <f t="shared" ca="1" si="22"/>
        <v>0</v>
      </c>
      <c r="S94" s="33" t="s">
        <v>151</v>
      </c>
      <c r="T94" s="34">
        <f t="shared" si="23"/>
        <v>0</v>
      </c>
      <c r="U94" s="34">
        <f t="shared" ca="1" si="24"/>
        <v>0</v>
      </c>
      <c r="V94" s="34">
        <f>-SUMPRODUCT((S$6:S93=S94)*(X$6:X93=X94))</f>
        <v>0</v>
      </c>
      <c r="W94" s="34">
        <f>-SUMPRODUCT((S$6:S93=S94)*(X$6:X93=X94)*(B$6:B93&lt;&gt;"NS"))</f>
        <v>0</v>
      </c>
      <c r="X94" s="35">
        <f t="shared" si="25"/>
        <v>390.21539999999999</v>
      </c>
      <c r="Y94" s="27">
        <v>196</v>
      </c>
      <c r="Z94" s="29">
        <v>194</v>
      </c>
      <c r="AA94" s="27"/>
      <c r="AB94" s="27"/>
      <c r="AC94" s="27"/>
      <c r="AD94" s="27"/>
      <c r="AF94" s="36">
        <v>0</v>
      </c>
      <c r="AG94" s="36">
        <v>0</v>
      </c>
      <c r="AH94" s="36">
        <v>0</v>
      </c>
      <c r="AI94" s="36">
        <v>0</v>
      </c>
      <c r="AJ94" s="37">
        <v>2</v>
      </c>
      <c r="AK94" s="67">
        <v>390.18726000000004</v>
      </c>
      <c r="AL94" s="39">
        <v>196</v>
      </c>
      <c r="AM94" s="32">
        <v>586</v>
      </c>
      <c r="AN94" s="39" t="s">
        <v>141</v>
      </c>
      <c r="AO94" s="39" t="s">
        <v>194</v>
      </c>
      <c r="AP94" s="39" t="s">
        <v>760</v>
      </c>
      <c r="AQ94" s="30"/>
      <c r="AR94" s="26"/>
      <c r="AS94" s="1"/>
    </row>
    <row r="95" spans="1:45">
      <c r="A95" s="1">
        <v>13</v>
      </c>
      <c r="B95" s="1">
        <v>12</v>
      </c>
      <c r="C95" s="40">
        <f t="shared" si="18"/>
        <v>13</v>
      </c>
      <c r="D95" s="40">
        <f t="shared" si="18"/>
        <v>12</v>
      </c>
      <c r="E95" s="1" t="s">
        <v>150</v>
      </c>
      <c r="F95" s="29" t="s">
        <v>57</v>
      </c>
      <c r="G95" s="29"/>
      <c r="H95" s="27">
        <v>193</v>
      </c>
      <c r="I95" s="27"/>
      <c r="J95" s="27"/>
      <c r="K95" s="27">
        <v>192</v>
      </c>
      <c r="L95" s="27"/>
      <c r="M95" s="32">
        <f t="shared" si="19"/>
        <v>385</v>
      </c>
      <c r="N95" s="32" t="s">
        <v>1330</v>
      </c>
      <c r="O95" s="32"/>
      <c r="P95" s="42">
        <f t="shared" si="20"/>
        <v>384.99110000000002</v>
      </c>
      <c r="Q95" s="32">
        <f t="shared" si="21"/>
        <v>2</v>
      </c>
      <c r="R95" s="32">
        <f t="shared" ca="1" si="22"/>
        <v>0</v>
      </c>
      <c r="S95" s="33" t="s">
        <v>151</v>
      </c>
      <c r="T95" s="34">
        <f t="shared" si="23"/>
        <v>0</v>
      </c>
      <c r="U95" s="34">
        <f t="shared" ca="1" si="24"/>
        <v>192</v>
      </c>
      <c r="V95" s="34">
        <f>-SUMPRODUCT((S$6:S94=S95)*(X$6:X94=X95))</f>
        <v>0</v>
      </c>
      <c r="W95" s="34">
        <f>-SUMPRODUCT((S$6:S94=S95)*(X$6:X94=X95)*(B$6:B94&lt;&gt;"NS"))</f>
        <v>0</v>
      </c>
      <c r="X95" s="35">
        <f t="shared" si="25"/>
        <v>385.2122</v>
      </c>
      <c r="Y95" s="27">
        <v>193</v>
      </c>
      <c r="Z95" s="27">
        <v>192</v>
      </c>
      <c r="AA95" s="29"/>
      <c r="AB95" s="27"/>
      <c r="AC95" s="27"/>
      <c r="AD95" s="27"/>
      <c r="AF95" s="36">
        <v>0</v>
      </c>
      <c r="AG95" s="36">
        <v>0</v>
      </c>
      <c r="AH95" s="36">
        <v>0</v>
      </c>
      <c r="AI95" s="36">
        <v>0</v>
      </c>
      <c r="AJ95" s="37">
        <v>1</v>
      </c>
      <c r="AK95" s="67">
        <v>193.00949999999997</v>
      </c>
      <c r="AL95" s="39">
        <v>193</v>
      </c>
      <c r="AM95" s="32">
        <v>386</v>
      </c>
      <c r="AN95" s="39"/>
      <c r="AO95" s="39"/>
      <c r="AP95" s="39"/>
      <c r="AQ95" s="30"/>
      <c r="AR95" s="26"/>
      <c r="AS95" s="1"/>
    </row>
    <row r="96" spans="1:45">
      <c r="A96" s="1">
        <v>14</v>
      </c>
      <c r="B96" s="1" t="s">
        <v>111</v>
      </c>
      <c r="C96" s="40">
        <f t="shared" si="18"/>
        <v>14</v>
      </c>
      <c r="D96" s="40" t="str">
        <f t="shared" si="18"/>
        <v>NS</v>
      </c>
      <c r="E96" s="1" t="s">
        <v>767</v>
      </c>
      <c r="F96" s="29" t="s">
        <v>201</v>
      </c>
      <c r="G96" s="29">
        <v>191</v>
      </c>
      <c r="H96" s="27">
        <v>188</v>
      </c>
      <c r="I96" s="27"/>
      <c r="J96" s="27"/>
      <c r="K96" s="27"/>
      <c r="L96" s="27"/>
      <c r="M96" s="32">
        <f t="shared" si="19"/>
        <v>379</v>
      </c>
      <c r="N96" s="32" t="s">
        <v>1331</v>
      </c>
      <c r="O96" s="32"/>
      <c r="P96" s="42">
        <f t="shared" si="20"/>
        <v>378.99099999999999</v>
      </c>
      <c r="Q96" s="32">
        <f t="shared" si="21"/>
        <v>2</v>
      </c>
      <c r="R96" s="32">
        <f t="shared" ca="1" si="22"/>
        <v>0</v>
      </c>
      <c r="S96" s="33" t="s">
        <v>151</v>
      </c>
      <c r="T96" s="34">
        <f t="shared" si="23"/>
        <v>0</v>
      </c>
      <c r="U96" s="34">
        <f t="shared" ca="1" si="24"/>
        <v>0</v>
      </c>
      <c r="V96" s="34">
        <f>-SUMPRODUCT((S$6:S95=S96)*(X$6:X95=X96))</f>
        <v>0</v>
      </c>
      <c r="W96" s="34">
        <f>-SUMPRODUCT((S$6:S95=S96)*(X$6:X95=X96)*(B$6:B95&lt;&gt;"NS"))</f>
        <v>0</v>
      </c>
      <c r="X96" s="35">
        <f t="shared" si="25"/>
        <v>379.20979999999997</v>
      </c>
      <c r="Y96" s="29">
        <v>191</v>
      </c>
      <c r="Z96" s="27">
        <v>188</v>
      </c>
      <c r="AA96" s="27"/>
      <c r="AB96" s="27"/>
      <c r="AC96" s="27"/>
      <c r="AD96" s="27"/>
      <c r="AF96" s="36">
        <v>0</v>
      </c>
      <c r="AG96" s="36">
        <v>0</v>
      </c>
      <c r="AH96" s="36">
        <v>0</v>
      </c>
      <c r="AI96" s="36">
        <v>0</v>
      </c>
      <c r="AJ96" s="37">
        <v>2</v>
      </c>
      <c r="AK96" s="67">
        <v>379.20099999999996</v>
      </c>
      <c r="AL96" s="39">
        <v>191</v>
      </c>
      <c r="AM96" s="32">
        <v>0</v>
      </c>
      <c r="AN96" s="39"/>
      <c r="AO96" s="39"/>
      <c r="AP96" s="39"/>
      <c r="AQ96" s="30"/>
      <c r="AR96" s="26"/>
      <c r="AS96" s="1"/>
    </row>
    <row r="97" spans="1:45">
      <c r="A97" s="1">
        <v>15</v>
      </c>
      <c r="B97" s="1">
        <v>13</v>
      </c>
      <c r="C97" s="40">
        <f t="shared" si="18"/>
        <v>15</v>
      </c>
      <c r="D97" s="40">
        <f t="shared" si="18"/>
        <v>13</v>
      </c>
      <c r="E97" s="1" t="s">
        <v>272</v>
      </c>
      <c r="F97" s="29" t="s">
        <v>118</v>
      </c>
      <c r="G97" s="29"/>
      <c r="H97" s="27">
        <v>107</v>
      </c>
      <c r="I97" s="27">
        <v>106</v>
      </c>
      <c r="J97" s="27"/>
      <c r="K97" s="27">
        <v>159</v>
      </c>
      <c r="L97" s="27"/>
      <c r="M97" s="32">
        <f t="shared" si="19"/>
        <v>372</v>
      </c>
      <c r="N97" s="32" t="s">
        <v>1330</v>
      </c>
      <c r="O97" s="32"/>
      <c r="P97" s="42">
        <f t="shared" si="20"/>
        <v>371.99090000000001</v>
      </c>
      <c r="Q97" s="32">
        <f t="shared" si="21"/>
        <v>3</v>
      </c>
      <c r="R97" s="32">
        <f t="shared" ca="1" si="22"/>
        <v>0</v>
      </c>
      <c r="S97" s="33" t="s">
        <v>151</v>
      </c>
      <c r="T97" s="34">
        <f t="shared" si="23"/>
        <v>0</v>
      </c>
      <c r="U97" s="34">
        <f t="shared" ca="1" si="24"/>
        <v>159</v>
      </c>
      <c r="V97" s="34">
        <f>-SUMPRODUCT((S$6:S96=S97)*(X$6:X96=X97))</f>
        <v>0</v>
      </c>
      <c r="W97" s="34">
        <f>-SUMPRODUCT((S$6:S96=S97)*(X$6:X96=X97)*(B$6:B96&lt;&gt;"NS"))</f>
        <v>0</v>
      </c>
      <c r="X97" s="35">
        <f t="shared" si="25"/>
        <v>372.17075999999997</v>
      </c>
      <c r="Y97" s="27">
        <v>159</v>
      </c>
      <c r="Z97" s="27">
        <v>107</v>
      </c>
      <c r="AA97" s="27">
        <v>106</v>
      </c>
      <c r="AB97" s="29"/>
      <c r="AC97" s="27"/>
      <c r="AD97" s="27"/>
      <c r="AF97" s="36">
        <v>0</v>
      </c>
      <c r="AG97" s="36">
        <v>0</v>
      </c>
      <c r="AH97" s="36">
        <v>0</v>
      </c>
      <c r="AI97" s="36">
        <v>0</v>
      </c>
      <c r="AJ97" s="37">
        <v>2</v>
      </c>
      <c r="AK97" s="67">
        <v>213.00206</v>
      </c>
      <c r="AL97" s="39">
        <v>107</v>
      </c>
      <c r="AM97" s="32">
        <v>320</v>
      </c>
      <c r="AN97" s="39"/>
      <c r="AO97" s="39"/>
      <c r="AP97" s="39"/>
      <c r="AQ97" s="30"/>
      <c r="AR97" s="26"/>
      <c r="AS97" s="1"/>
    </row>
    <row r="98" spans="1:45">
      <c r="A98" s="1">
        <v>16</v>
      </c>
      <c r="B98" s="1">
        <v>14</v>
      </c>
      <c r="C98" s="40">
        <f t="shared" si="18"/>
        <v>16</v>
      </c>
      <c r="D98" s="40">
        <f t="shared" si="18"/>
        <v>14</v>
      </c>
      <c r="E98" s="1" t="s">
        <v>768</v>
      </c>
      <c r="F98" s="29" t="s">
        <v>76</v>
      </c>
      <c r="G98" s="29">
        <v>121</v>
      </c>
      <c r="H98" s="27">
        <v>115</v>
      </c>
      <c r="I98" s="27"/>
      <c r="J98" s="27">
        <v>118</v>
      </c>
      <c r="K98" s="27"/>
      <c r="L98" s="27"/>
      <c r="M98" s="32">
        <f t="shared" si="19"/>
        <v>354</v>
      </c>
      <c r="N98" s="32" t="s">
        <v>1330</v>
      </c>
      <c r="O98" s="32"/>
      <c r="P98" s="42">
        <f t="shared" si="20"/>
        <v>353.99079999999998</v>
      </c>
      <c r="Q98" s="32">
        <f t="shared" si="21"/>
        <v>3</v>
      </c>
      <c r="R98" s="32">
        <f t="shared" ca="1" si="22"/>
        <v>0</v>
      </c>
      <c r="S98" s="33" t="s">
        <v>151</v>
      </c>
      <c r="T98" s="34">
        <f t="shared" si="23"/>
        <v>0</v>
      </c>
      <c r="U98" s="34">
        <f t="shared" ca="1" si="24"/>
        <v>0</v>
      </c>
      <c r="V98" s="34">
        <f>-SUMPRODUCT((S$6:S97=S98)*(X$6:X97=X98))</f>
        <v>0</v>
      </c>
      <c r="W98" s="34">
        <f>-SUMPRODUCT((S$6:S97=S98)*(X$6:X97=X98)*(B$6:B97&lt;&gt;"NS"))</f>
        <v>0</v>
      </c>
      <c r="X98" s="35">
        <f t="shared" si="25"/>
        <v>354.13395000000003</v>
      </c>
      <c r="Y98" s="29">
        <v>121</v>
      </c>
      <c r="Z98" s="27">
        <v>118</v>
      </c>
      <c r="AA98" s="27">
        <v>115</v>
      </c>
      <c r="AB98" s="27"/>
      <c r="AC98" s="27"/>
      <c r="AD98" s="27"/>
      <c r="AF98" s="36">
        <v>0</v>
      </c>
      <c r="AG98" s="36">
        <v>0</v>
      </c>
      <c r="AH98" s="36">
        <v>0</v>
      </c>
      <c r="AI98" s="36">
        <v>0</v>
      </c>
      <c r="AJ98" s="37">
        <v>3</v>
      </c>
      <c r="AK98" s="67">
        <v>354.12477999999999</v>
      </c>
      <c r="AL98" s="39">
        <v>121</v>
      </c>
      <c r="AM98" s="32">
        <v>360</v>
      </c>
      <c r="AN98" s="39"/>
      <c r="AO98" s="39"/>
      <c r="AP98" s="39"/>
      <c r="AQ98" s="30"/>
      <c r="AR98" s="26"/>
      <c r="AS98" s="1"/>
    </row>
    <row r="99" spans="1:45">
      <c r="A99" s="1">
        <v>17</v>
      </c>
      <c r="B99" s="1">
        <v>15</v>
      </c>
      <c r="C99" s="40">
        <f t="shared" si="18"/>
        <v>17</v>
      </c>
      <c r="D99" s="40">
        <f t="shared" si="18"/>
        <v>15</v>
      </c>
      <c r="E99" s="1" t="s">
        <v>769</v>
      </c>
      <c r="F99" s="29" t="s">
        <v>47</v>
      </c>
      <c r="G99" s="29">
        <v>107</v>
      </c>
      <c r="H99" s="27"/>
      <c r="I99" s="27">
        <v>119</v>
      </c>
      <c r="J99" s="27">
        <v>126</v>
      </c>
      <c r="K99" s="27"/>
      <c r="L99" s="27"/>
      <c r="M99" s="32">
        <f t="shared" si="19"/>
        <v>352</v>
      </c>
      <c r="N99" s="32" t="s">
        <v>1330</v>
      </c>
      <c r="O99" s="32"/>
      <c r="P99" s="42">
        <f t="shared" si="20"/>
        <v>351.9907</v>
      </c>
      <c r="Q99" s="32">
        <f t="shared" si="21"/>
        <v>3</v>
      </c>
      <c r="R99" s="32">
        <f t="shared" ca="1" si="22"/>
        <v>0</v>
      </c>
      <c r="S99" s="33" t="s">
        <v>151</v>
      </c>
      <c r="T99" s="34">
        <f t="shared" si="23"/>
        <v>0</v>
      </c>
      <c r="U99" s="34">
        <f t="shared" ca="1" si="24"/>
        <v>0</v>
      </c>
      <c r="V99" s="34">
        <f>-SUMPRODUCT((S$6:S98=S99)*(X$6:X98=X99))</f>
        <v>0</v>
      </c>
      <c r="W99" s="34">
        <f>-SUMPRODUCT((S$6:S98=S99)*(X$6:X98=X99)*(B$6:B98&lt;&gt;"NS"))</f>
        <v>0</v>
      </c>
      <c r="X99" s="35">
        <f t="shared" si="25"/>
        <v>352.13896999999997</v>
      </c>
      <c r="Y99" s="27">
        <v>126</v>
      </c>
      <c r="Z99" s="27">
        <v>119</v>
      </c>
      <c r="AA99" s="29">
        <v>107</v>
      </c>
      <c r="AB99" s="27"/>
      <c r="AC99" s="27"/>
      <c r="AD99" s="27"/>
      <c r="AF99" s="36">
        <v>0</v>
      </c>
      <c r="AG99" s="36">
        <v>0</v>
      </c>
      <c r="AH99" s="36">
        <v>0</v>
      </c>
      <c r="AI99" s="36">
        <v>0</v>
      </c>
      <c r="AJ99" s="37">
        <v>3</v>
      </c>
      <c r="AK99" s="67">
        <v>352.099379</v>
      </c>
      <c r="AL99" s="39">
        <v>126</v>
      </c>
      <c r="AM99" s="32">
        <v>371</v>
      </c>
      <c r="AN99" s="39"/>
      <c r="AO99" s="39"/>
      <c r="AP99" s="39"/>
      <c r="AQ99" s="30"/>
      <c r="AR99" s="26"/>
      <c r="AS99" s="1"/>
    </row>
    <row r="100" spans="1:45">
      <c r="A100" s="1">
        <v>18</v>
      </c>
      <c r="B100" s="1">
        <v>16</v>
      </c>
      <c r="C100" s="40">
        <f t="shared" si="18"/>
        <v>18</v>
      </c>
      <c r="D100" s="40">
        <f t="shared" si="18"/>
        <v>16</v>
      </c>
      <c r="E100" s="1" t="s">
        <v>273</v>
      </c>
      <c r="F100" s="29" t="s">
        <v>66</v>
      </c>
      <c r="G100" s="29">
        <v>79</v>
      </c>
      <c r="H100" s="27">
        <v>109</v>
      </c>
      <c r="I100" s="27"/>
      <c r="J100" s="27"/>
      <c r="K100" s="27">
        <v>158</v>
      </c>
      <c r="L100" s="27"/>
      <c r="M100" s="32">
        <f t="shared" si="19"/>
        <v>346</v>
      </c>
      <c r="N100" s="32" t="s">
        <v>1330</v>
      </c>
      <c r="O100" s="32"/>
      <c r="P100" s="42">
        <f t="shared" si="20"/>
        <v>345.99059999999997</v>
      </c>
      <c r="Q100" s="32">
        <f t="shared" si="21"/>
        <v>3</v>
      </c>
      <c r="R100" s="32">
        <f t="shared" ca="1" si="22"/>
        <v>0</v>
      </c>
      <c r="S100" s="33" t="s">
        <v>151</v>
      </c>
      <c r="T100" s="34">
        <f t="shared" si="23"/>
        <v>0</v>
      </c>
      <c r="U100" s="34">
        <f t="shared" ca="1" si="24"/>
        <v>158</v>
      </c>
      <c r="V100" s="34">
        <f>-SUMPRODUCT((S$6:S99=S100)*(X$6:X99=X100))</f>
        <v>0</v>
      </c>
      <c r="W100" s="34">
        <f>-SUMPRODUCT((S$6:S99=S100)*(X$6:X99=X100)*(B$6:B99&lt;&gt;"NS"))</f>
        <v>0</v>
      </c>
      <c r="X100" s="35">
        <f t="shared" si="25"/>
        <v>346.16969</v>
      </c>
      <c r="Y100" s="27">
        <v>158</v>
      </c>
      <c r="Z100" s="27">
        <v>109</v>
      </c>
      <c r="AA100" s="29">
        <v>79</v>
      </c>
      <c r="AB100" s="27"/>
      <c r="AC100" s="27"/>
      <c r="AD100" s="27"/>
      <c r="AF100" s="36">
        <v>0</v>
      </c>
      <c r="AG100" s="36">
        <v>0</v>
      </c>
      <c r="AH100" s="36">
        <v>0</v>
      </c>
      <c r="AI100" s="36">
        <v>0</v>
      </c>
      <c r="AJ100" s="37">
        <v>2</v>
      </c>
      <c r="AK100" s="67">
        <v>188.07990000000001</v>
      </c>
      <c r="AL100" s="39">
        <v>109</v>
      </c>
      <c r="AM100" s="32">
        <v>297</v>
      </c>
      <c r="AN100" s="39"/>
      <c r="AO100" s="39"/>
      <c r="AP100" s="39"/>
      <c r="AQ100" s="30"/>
      <c r="AR100" s="26"/>
      <c r="AS100" s="1"/>
    </row>
    <row r="101" spans="1:45">
      <c r="A101" s="1">
        <v>19</v>
      </c>
      <c r="B101" s="1">
        <v>17</v>
      </c>
      <c r="C101" s="40">
        <f t="shared" si="18"/>
        <v>19</v>
      </c>
      <c r="D101" s="40">
        <f t="shared" si="18"/>
        <v>17</v>
      </c>
      <c r="E101" s="1" t="s">
        <v>770</v>
      </c>
      <c r="F101" s="29" t="s">
        <v>29</v>
      </c>
      <c r="G101" s="29">
        <v>159</v>
      </c>
      <c r="H101" s="27">
        <v>178</v>
      </c>
      <c r="I101" s="27"/>
      <c r="J101" s="27"/>
      <c r="K101" s="27"/>
      <c r="L101" s="27"/>
      <c r="M101" s="32">
        <f t="shared" si="19"/>
        <v>337</v>
      </c>
      <c r="N101" s="32" t="s">
        <v>1330</v>
      </c>
      <c r="O101" s="32"/>
      <c r="P101" s="42">
        <f t="shared" si="20"/>
        <v>336.9905</v>
      </c>
      <c r="Q101" s="32">
        <f t="shared" si="21"/>
        <v>2</v>
      </c>
      <c r="R101" s="32">
        <f t="shared" ca="1" si="22"/>
        <v>0</v>
      </c>
      <c r="S101" s="33" t="s">
        <v>151</v>
      </c>
      <c r="T101" s="34">
        <f t="shared" si="23"/>
        <v>0</v>
      </c>
      <c r="U101" s="34">
        <f t="shared" ca="1" si="24"/>
        <v>0</v>
      </c>
      <c r="V101" s="34">
        <f>-SUMPRODUCT((S$6:S100=S101)*(X$6:X100=X101))</f>
        <v>0</v>
      </c>
      <c r="W101" s="34">
        <f>-SUMPRODUCT((S$6:S100=S101)*(X$6:X100=X101)*(B$6:B100&lt;&gt;"NS"))</f>
        <v>0</v>
      </c>
      <c r="X101" s="35">
        <f t="shared" si="25"/>
        <v>337.19389999999999</v>
      </c>
      <c r="Y101" s="27">
        <v>178</v>
      </c>
      <c r="Z101" s="29">
        <v>159</v>
      </c>
      <c r="AA101" s="27"/>
      <c r="AB101" s="27"/>
      <c r="AC101" s="27"/>
      <c r="AD101" s="27"/>
      <c r="AF101" s="36">
        <v>0</v>
      </c>
      <c r="AG101" s="36">
        <v>0</v>
      </c>
      <c r="AH101" s="36">
        <v>0</v>
      </c>
      <c r="AI101" s="36">
        <v>0</v>
      </c>
      <c r="AJ101" s="37">
        <v>2</v>
      </c>
      <c r="AK101" s="67">
        <v>337.16770000000002</v>
      </c>
      <c r="AL101" s="39">
        <v>178</v>
      </c>
      <c r="AM101" s="32">
        <v>515</v>
      </c>
      <c r="AN101" s="39"/>
      <c r="AO101" s="39"/>
      <c r="AP101" s="39"/>
      <c r="AQ101" s="30"/>
      <c r="AR101" s="26"/>
      <c r="AS101" s="1"/>
    </row>
    <row r="102" spans="1:45">
      <c r="A102" s="1">
        <v>20</v>
      </c>
      <c r="B102" s="1">
        <v>18</v>
      </c>
      <c r="C102" s="40">
        <f t="shared" si="18"/>
        <v>20</v>
      </c>
      <c r="D102" s="40">
        <f t="shared" si="18"/>
        <v>18</v>
      </c>
      <c r="E102" s="1" t="s">
        <v>312</v>
      </c>
      <c r="F102" s="29" t="s">
        <v>88</v>
      </c>
      <c r="G102" s="29">
        <v>55</v>
      </c>
      <c r="H102" s="27">
        <v>120</v>
      </c>
      <c r="I102" s="27">
        <v>64</v>
      </c>
      <c r="J102" s="27"/>
      <c r="K102" s="27">
        <v>143</v>
      </c>
      <c r="L102" s="27"/>
      <c r="M102" s="32">
        <f t="shared" si="19"/>
        <v>327</v>
      </c>
      <c r="N102" s="32" t="s">
        <v>1330</v>
      </c>
      <c r="O102" s="32"/>
      <c r="P102" s="42">
        <f t="shared" si="20"/>
        <v>326.99040000000002</v>
      </c>
      <c r="Q102" s="32">
        <f t="shared" si="21"/>
        <v>4</v>
      </c>
      <c r="R102" s="32">
        <f t="shared" ca="1" si="22"/>
        <v>0</v>
      </c>
      <c r="S102" s="33" t="s">
        <v>151</v>
      </c>
      <c r="T102" s="34">
        <f t="shared" si="23"/>
        <v>0</v>
      </c>
      <c r="U102" s="34">
        <f t="shared" ca="1" si="24"/>
        <v>143</v>
      </c>
      <c r="V102" s="34">
        <f>-SUMPRODUCT((S$6:S101=S102)*(X$6:X101=X102))</f>
        <v>0</v>
      </c>
      <c r="W102" s="34">
        <f>-SUMPRODUCT((S$6:S101=S102)*(X$6:X101=X102)*(B$6:B101&lt;&gt;"NS"))</f>
        <v>0</v>
      </c>
      <c r="X102" s="35">
        <f t="shared" si="25"/>
        <v>327.15564000000001</v>
      </c>
      <c r="Y102" s="27">
        <v>143</v>
      </c>
      <c r="Z102" s="27">
        <v>120</v>
      </c>
      <c r="AA102" s="27">
        <v>64</v>
      </c>
      <c r="AB102" s="29">
        <v>55</v>
      </c>
      <c r="AC102" s="27"/>
      <c r="AD102" s="27"/>
      <c r="AF102" s="36">
        <v>0</v>
      </c>
      <c r="AG102" s="36">
        <v>0</v>
      </c>
      <c r="AH102" s="36">
        <v>0</v>
      </c>
      <c r="AI102" s="36">
        <v>0</v>
      </c>
      <c r="AJ102" s="37">
        <v>3</v>
      </c>
      <c r="AK102" s="67">
        <v>239.05814000000001</v>
      </c>
      <c r="AL102" s="39">
        <v>120</v>
      </c>
      <c r="AM102" s="32">
        <v>304</v>
      </c>
      <c r="AN102" s="39"/>
      <c r="AO102" s="39"/>
      <c r="AP102" s="39"/>
      <c r="AQ102" s="30"/>
      <c r="AR102" s="26"/>
      <c r="AS102" s="1"/>
    </row>
    <row r="103" spans="1:45">
      <c r="A103" s="1">
        <v>21</v>
      </c>
      <c r="B103" s="1">
        <v>19</v>
      </c>
      <c r="C103" s="40">
        <f t="shared" si="18"/>
        <v>21</v>
      </c>
      <c r="D103" s="40">
        <f t="shared" si="18"/>
        <v>19</v>
      </c>
      <c r="E103" s="1" t="s">
        <v>771</v>
      </c>
      <c r="F103" s="29" t="s">
        <v>50</v>
      </c>
      <c r="G103" s="29">
        <v>161</v>
      </c>
      <c r="H103" s="27"/>
      <c r="I103" s="27">
        <v>156</v>
      </c>
      <c r="J103" s="27"/>
      <c r="K103" s="27"/>
      <c r="L103" s="27"/>
      <c r="M103" s="32">
        <f t="shared" si="19"/>
        <v>317</v>
      </c>
      <c r="N103" s="32" t="s">
        <v>1330</v>
      </c>
      <c r="O103" s="32"/>
      <c r="P103" s="42">
        <f t="shared" si="20"/>
        <v>316.99029999999999</v>
      </c>
      <c r="Q103" s="32">
        <f t="shared" si="21"/>
        <v>2</v>
      </c>
      <c r="R103" s="32">
        <f t="shared" ca="1" si="22"/>
        <v>0</v>
      </c>
      <c r="S103" s="33" t="s">
        <v>151</v>
      </c>
      <c r="T103" s="34">
        <f t="shared" si="23"/>
        <v>0</v>
      </c>
      <c r="U103" s="34">
        <f t="shared" ca="1" si="24"/>
        <v>0</v>
      </c>
      <c r="V103" s="34">
        <f>-SUMPRODUCT((S$6:S102=S103)*(X$6:X102=X103))</f>
        <v>0</v>
      </c>
      <c r="W103" s="34">
        <f>-SUMPRODUCT((S$6:S102=S103)*(X$6:X102=X103)*(B$6:B102&lt;&gt;"NS"))</f>
        <v>0</v>
      </c>
      <c r="X103" s="35">
        <f t="shared" si="25"/>
        <v>317.17660000000001</v>
      </c>
      <c r="Y103" s="29">
        <v>161</v>
      </c>
      <c r="Z103" s="27">
        <v>156</v>
      </c>
      <c r="AA103" s="27"/>
      <c r="AB103" s="27"/>
      <c r="AC103" s="27"/>
      <c r="AD103" s="27"/>
      <c r="AF103" s="36">
        <v>0</v>
      </c>
      <c r="AG103" s="36">
        <v>0</v>
      </c>
      <c r="AH103" s="36">
        <v>0</v>
      </c>
      <c r="AI103" s="36">
        <v>0</v>
      </c>
      <c r="AJ103" s="37">
        <v>2</v>
      </c>
      <c r="AK103" s="67">
        <v>317.15335999999996</v>
      </c>
      <c r="AL103" s="39">
        <v>161</v>
      </c>
      <c r="AM103" s="32">
        <v>478</v>
      </c>
      <c r="AN103" s="39"/>
      <c r="AO103" s="39"/>
      <c r="AP103" s="39"/>
      <c r="AQ103" s="30"/>
      <c r="AR103" s="26"/>
      <c r="AS103" s="1"/>
    </row>
    <row r="104" spans="1:45">
      <c r="A104" s="1">
        <v>22</v>
      </c>
      <c r="B104" s="1">
        <v>20</v>
      </c>
      <c r="C104" s="40">
        <f t="shared" si="18"/>
        <v>22</v>
      </c>
      <c r="D104" s="40">
        <f t="shared" si="18"/>
        <v>20</v>
      </c>
      <c r="E104" s="1" t="s">
        <v>772</v>
      </c>
      <c r="F104" s="29" t="s">
        <v>66</v>
      </c>
      <c r="G104" s="29">
        <v>134</v>
      </c>
      <c r="H104" s="27"/>
      <c r="I104" s="27"/>
      <c r="J104" s="27">
        <v>166</v>
      </c>
      <c r="K104" s="27"/>
      <c r="L104" s="27"/>
      <c r="M104" s="32">
        <f t="shared" si="19"/>
        <v>300</v>
      </c>
      <c r="N104" s="32" t="s">
        <v>1330</v>
      </c>
      <c r="O104" s="32"/>
      <c r="P104" s="42">
        <f t="shared" si="20"/>
        <v>299.99020000000002</v>
      </c>
      <c r="Q104" s="32">
        <f t="shared" si="21"/>
        <v>2</v>
      </c>
      <c r="R104" s="32">
        <f t="shared" ca="1" si="22"/>
        <v>0</v>
      </c>
      <c r="S104" s="33" t="s">
        <v>151</v>
      </c>
      <c r="T104" s="34">
        <f t="shared" si="23"/>
        <v>0</v>
      </c>
      <c r="U104" s="34">
        <f t="shared" ca="1" si="24"/>
        <v>0</v>
      </c>
      <c r="V104" s="34">
        <f>-SUMPRODUCT((S$6:S103=S104)*(X$6:X103=X104))</f>
        <v>0</v>
      </c>
      <c r="W104" s="34">
        <f>-SUMPRODUCT((S$6:S103=S104)*(X$6:X103=X104)*(B$6:B103&lt;&gt;"NS"))</f>
        <v>0</v>
      </c>
      <c r="X104" s="35">
        <f t="shared" si="25"/>
        <v>300.17939999999999</v>
      </c>
      <c r="Y104" s="27">
        <v>166</v>
      </c>
      <c r="Z104" s="29">
        <v>134</v>
      </c>
      <c r="AA104" s="27"/>
      <c r="AB104" s="27"/>
      <c r="AC104" s="27"/>
      <c r="AD104" s="27"/>
      <c r="AF104" s="36">
        <v>0</v>
      </c>
      <c r="AG104" s="36">
        <v>0</v>
      </c>
      <c r="AH104" s="36">
        <v>0</v>
      </c>
      <c r="AI104" s="36">
        <v>0</v>
      </c>
      <c r="AJ104" s="37">
        <v>2</v>
      </c>
      <c r="AK104" s="67">
        <v>300.12636000000003</v>
      </c>
      <c r="AL104" s="39">
        <v>166</v>
      </c>
      <c r="AM104" s="32">
        <v>466</v>
      </c>
      <c r="AN104" s="39"/>
      <c r="AO104" s="39"/>
      <c r="AP104" s="39"/>
      <c r="AQ104" s="30"/>
      <c r="AR104" s="26"/>
      <c r="AS104" s="1"/>
    </row>
    <row r="105" spans="1:45">
      <c r="A105" s="1">
        <v>23</v>
      </c>
      <c r="B105" s="1">
        <v>21</v>
      </c>
      <c r="C105" s="40">
        <f t="shared" si="18"/>
        <v>23</v>
      </c>
      <c r="D105" s="40">
        <f t="shared" si="18"/>
        <v>21</v>
      </c>
      <c r="E105" s="1" t="s">
        <v>297</v>
      </c>
      <c r="F105" s="29" t="s">
        <v>61</v>
      </c>
      <c r="G105" s="29"/>
      <c r="H105" s="27"/>
      <c r="I105" s="27"/>
      <c r="J105" s="27">
        <v>112</v>
      </c>
      <c r="K105" s="27">
        <v>149</v>
      </c>
      <c r="L105" s="27"/>
      <c r="M105" s="32">
        <f t="shared" si="19"/>
        <v>261</v>
      </c>
      <c r="N105" s="32" t="s">
        <v>1330</v>
      </c>
      <c r="O105" s="32"/>
      <c r="P105" s="42">
        <f t="shared" si="20"/>
        <v>260.99009999999998</v>
      </c>
      <c r="Q105" s="32">
        <f t="shared" si="21"/>
        <v>2</v>
      </c>
      <c r="R105" s="32">
        <f t="shared" ca="1" si="22"/>
        <v>0</v>
      </c>
      <c r="S105" s="33" t="s">
        <v>151</v>
      </c>
      <c r="T105" s="34">
        <f t="shared" si="23"/>
        <v>0</v>
      </c>
      <c r="U105" s="34">
        <f t="shared" ca="1" si="24"/>
        <v>149</v>
      </c>
      <c r="V105" s="34">
        <f>-SUMPRODUCT((S$6:S104=S105)*(X$6:X104=X105))</f>
        <v>0</v>
      </c>
      <c r="W105" s="34">
        <f>-SUMPRODUCT((S$6:S104=S105)*(X$6:X104=X105)*(B$6:B104&lt;&gt;"NS"))</f>
        <v>0</v>
      </c>
      <c r="X105" s="35">
        <f t="shared" si="25"/>
        <v>261.16019999999997</v>
      </c>
      <c r="Y105" s="27">
        <v>149</v>
      </c>
      <c r="Z105" s="27">
        <v>112</v>
      </c>
      <c r="AA105" s="29"/>
      <c r="AB105" s="27"/>
      <c r="AC105" s="27"/>
      <c r="AD105" s="27"/>
      <c r="AF105" s="36">
        <v>0</v>
      </c>
      <c r="AG105" s="36">
        <v>0</v>
      </c>
      <c r="AH105" s="36">
        <v>0</v>
      </c>
      <c r="AI105" s="36">
        <v>0</v>
      </c>
      <c r="AJ105" s="37">
        <v>1</v>
      </c>
      <c r="AK105" s="67">
        <v>111.99021999999999</v>
      </c>
      <c r="AL105" s="39">
        <v>112</v>
      </c>
      <c r="AM105" s="32">
        <v>224</v>
      </c>
      <c r="AN105" s="39"/>
      <c r="AO105" s="39"/>
      <c r="AP105" s="39"/>
      <c r="AQ105" s="30"/>
      <c r="AR105" s="26"/>
      <c r="AS105" s="1"/>
    </row>
    <row r="106" spans="1:45">
      <c r="A106" s="1">
        <v>24</v>
      </c>
      <c r="B106" s="1">
        <v>22</v>
      </c>
      <c r="C106" s="40">
        <f t="shared" si="18"/>
        <v>24</v>
      </c>
      <c r="D106" s="40">
        <f t="shared" si="18"/>
        <v>22</v>
      </c>
      <c r="E106" s="1" t="s">
        <v>773</v>
      </c>
      <c r="F106" s="29" t="s">
        <v>47</v>
      </c>
      <c r="G106" s="29">
        <v>42</v>
      </c>
      <c r="H106" s="27"/>
      <c r="I106" s="27">
        <v>81</v>
      </c>
      <c r="J106" s="27">
        <v>99</v>
      </c>
      <c r="K106" s="27"/>
      <c r="L106" s="27"/>
      <c r="M106" s="32">
        <f t="shared" si="19"/>
        <v>222</v>
      </c>
      <c r="N106" s="32" t="s">
        <v>1330</v>
      </c>
      <c r="O106" s="32"/>
      <c r="P106" s="42">
        <f t="shared" si="20"/>
        <v>221.99</v>
      </c>
      <c r="Q106" s="32">
        <f t="shared" si="21"/>
        <v>3</v>
      </c>
      <c r="R106" s="32">
        <f t="shared" ca="1" si="22"/>
        <v>0</v>
      </c>
      <c r="S106" s="33" t="s">
        <v>151</v>
      </c>
      <c r="T106" s="34">
        <f t="shared" si="23"/>
        <v>0</v>
      </c>
      <c r="U106" s="34">
        <f t="shared" ca="1" si="24"/>
        <v>0</v>
      </c>
      <c r="V106" s="34">
        <f>-SUMPRODUCT((S$6:S105=S106)*(X$6:X105=X106))</f>
        <v>0</v>
      </c>
      <c r="W106" s="34">
        <f>-SUMPRODUCT((S$6:S105=S106)*(X$6:X105=X106)*(B$6:B105&lt;&gt;"NS"))</f>
        <v>0</v>
      </c>
      <c r="X106" s="35">
        <f t="shared" si="25"/>
        <v>222.10751999999999</v>
      </c>
      <c r="Y106" s="27">
        <v>99</v>
      </c>
      <c r="Z106" s="27">
        <v>81</v>
      </c>
      <c r="AA106" s="29">
        <v>42</v>
      </c>
      <c r="AB106" s="27"/>
      <c r="AC106" s="27"/>
      <c r="AD106" s="27"/>
      <c r="AF106" s="36">
        <v>0</v>
      </c>
      <c r="AG106" s="36">
        <v>0</v>
      </c>
      <c r="AH106" s="36">
        <v>0</v>
      </c>
      <c r="AI106" s="36">
        <v>0</v>
      </c>
      <c r="AJ106" s="37">
        <v>3</v>
      </c>
      <c r="AK106" s="67">
        <v>222.03347099999999</v>
      </c>
      <c r="AL106" s="39">
        <v>99</v>
      </c>
      <c r="AM106" s="32">
        <v>279</v>
      </c>
      <c r="AN106" s="39"/>
      <c r="AO106" s="39"/>
      <c r="AP106" s="39"/>
      <c r="AQ106" s="30"/>
      <c r="AR106" s="26"/>
      <c r="AS106" s="1"/>
    </row>
    <row r="107" spans="1:45">
      <c r="A107" s="1">
        <v>25</v>
      </c>
      <c r="B107" s="1">
        <v>23</v>
      </c>
      <c r="C107" s="40">
        <f t="shared" si="18"/>
        <v>25</v>
      </c>
      <c r="D107" s="40">
        <f t="shared" si="18"/>
        <v>23</v>
      </c>
      <c r="E107" s="1" t="s">
        <v>774</v>
      </c>
      <c r="F107" s="29" t="s">
        <v>19</v>
      </c>
      <c r="G107" s="29"/>
      <c r="H107" s="27">
        <v>192</v>
      </c>
      <c r="I107" s="27"/>
      <c r="J107" s="27"/>
      <c r="K107" s="27"/>
      <c r="L107" s="27"/>
      <c r="M107" s="32">
        <f t="shared" si="19"/>
        <v>192</v>
      </c>
      <c r="N107" s="32" t="s">
        <v>1330</v>
      </c>
      <c r="O107" s="32"/>
      <c r="P107" s="42">
        <f t="shared" si="20"/>
        <v>191.98990000000001</v>
      </c>
      <c r="Q107" s="32">
        <f t="shared" si="21"/>
        <v>1</v>
      </c>
      <c r="R107" s="32">
        <f t="shared" ca="1" si="22"/>
        <v>0</v>
      </c>
      <c r="S107" s="33" t="s">
        <v>151</v>
      </c>
      <c r="T107" s="34">
        <f t="shared" si="23"/>
        <v>0</v>
      </c>
      <c r="U107" s="34">
        <f t="shared" ca="1" si="24"/>
        <v>0</v>
      </c>
      <c r="V107" s="34">
        <f>-SUMPRODUCT((S$6:S106=S107)*(X$6:X106=X107))</f>
        <v>0</v>
      </c>
      <c r="W107" s="34">
        <f>-SUMPRODUCT((S$6:S106=S107)*(X$6:X106=X107)*(B$6:B106&lt;&gt;"NS"))</f>
        <v>0</v>
      </c>
      <c r="X107" s="35">
        <f t="shared" si="25"/>
        <v>192.19200000000001</v>
      </c>
      <c r="Y107" s="27">
        <v>192</v>
      </c>
      <c r="Z107" s="29"/>
      <c r="AA107" s="27"/>
      <c r="AB107" s="27"/>
      <c r="AC107" s="27"/>
      <c r="AD107" s="27"/>
      <c r="AF107" s="36">
        <v>0</v>
      </c>
      <c r="AG107" s="36">
        <v>0</v>
      </c>
      <c r="AH107" s="36">
        <v>0</v>
      </c>
      <c r="AI107" s="36">
        <v>0</v>
      </c>
      <c r="AJ107" s="37">
        <v>1</v>
      </c>
      <c r="AK107" s="67">
        <v>192.00930000000002</v>
      </c>
      <c r="AL107" s="39">
        <v>192</v>
      </c>
      <c r="AM107" s="32">
        <v>384</v>
      </c>
      <c r="AN107" s="39"/>
      <c r="AO107" s="39"/>
      <c r="AP107" s="39"/>
      <c r="AQ107" s="30"/>
      <c r="AR107" s="26"/>
      <c r="AS107" s="1"/>
    </row>
    <row r="108" spans="1:45">
      <c r="A108" s="1">
        <v>26</v>
      </c>
      <c r="B108" s="1">
        <v>24</v>
      </c>
      <c r="C108" s="40" t="str">
        <f t="shared" si="18"/>
        <v xml:space="preserve">=26 </v>
      </c>
      <c r="D108" s="40" t="str">
        <f t="shared" si="18"/>
        <v xml:space="preserve">=24 </v>
      </c>
      <c r="E108" s="1" t="s">
        <v>775</v>
      </c>
      <c r="F108" s="29" t="s">
        <v>38</v>
      </c>
      <c r="G108" s="29">
        <v>181</v>
      </c>
      <c r="H108" s="27"/>
      <c r="I108" s="27"/>
      <c r="J108" s="27"/>
      <c r="K108" s="27"/>
      <c r="L108" s="27"/>
      <c r="M108" s="32">
        <f t="shared" si="19"/>
        <v>181</v>
      </c>
      <c r="N108" s="32" t="s">
        <v>1330</v>
      </c>
      <c r="O108" s="32"/>
      <c r="P108" s="42">
        <f t="shared" si="20"/>
        <v>180.9898</v>
      </c>
      <c r="Q108" s="32">
        <f t="shared" si="21"/>
        <v>1</v>
      </c>
      <c r="R108" s="32">
        <f t="shared" ca="1" si="22"/>
        <v>0</v>
      </c>
      <c r="S108" s="33" t="s">
        <v>151</v>
      </c>
      <c r="T108" s="34">
        <f t="shared" si="23"/>
        <v>0</v>
      </c>
      <c r="U108" s="34">
        <f t="shared" ca="1" si="24"/>
        <v>0</v>
      </c>
      <c r="V108" s="34">
        <f>-SUMPRODUCT((S$6:S107=S108)*(X$6:X107=X108))</f>
        <v>0</v>
      </c>
      <c r="W108" s="34">
        <f>-SUMPRODUCT((S$6:S107=S108)*(X$6:X107=X108)*(B$6:B107&lt;&gt;"NS"))</f>
        <v>0</v>
      </c>
      <c r="X108" s="35">
        <f t="shared" si="25"/>
        <v>181.18100000000001</v>
      </c>
      <c r="Y108" s="29">
        <v>181</v>
      </c>
      <c r="Z108" s="27"/>
      <c r="AA108" s="27"/>
      <c r="AB108" s="27"/>
      <c r="AC108" s="27"/>
      <c r="AD108" s="27"/>
      <c r="AF108" s="36">
        <v>0</v>
      </c>
      <c r="AG108" s="36">
        <v>0</v>
      </c>
      <c r="AH108" s="36">
        <v>0</v>
      </c>
      <c r="AI108" s="36">
        <v>0</v>
      </c>
      <c r="AJ108" s="37">
        <v>1</v>
      </c>
      <c r="AK108" s="67">
        <v>181.17090000000002</v>
      </c>
      <c r="AL108" s="39">
        <v>181</v>
      </c>
      <c r="AM108" s="32">
        <v>362</v>
      </c>
      <c r="AN108" s="39"/>
      <c r="AO108" s="39"/>
      <c r="AP108" s="39"/>
      <c r="AQ108" s="30"/>
      <c r="AR108" s="26"/>
      <c r="AS108" s="1"/>
    </row>
    <row r="109" spans="1:45">
      <c r="A109" s="1">
        <v>27</v>
      </c>
      <c r="B109" s="1">
        <v>25</v>
      </c>
      <c r="C109" s="40" t="str">
        <f t="shared" si="18"/>
        <v xml:space="preserve">=26 </v>
      </c>
      <c r="D109" s="40" t="str">
        <f t="shared" si="18"/>
        <v xml:space="preserve">=24 </v>
      </c>
      <c r="E109" s="1" t="s">
        <v>776</v>
      </c>
      <c r="F109" s="29" t="s">
        <v>118</v>
      </c>
      <c r="G109" s="29"/>
      <c r="H109" s="27"/>
      <c r="I109" s="27">
        <v>181</v>
      </c>
      <c r="J109" s="27"/>
      <c r="K109" s="27"/>
      <c r="L109" s="27"/>
      <c r="M109" s="32">
        <f t="shared" si="19"/>
        <v>181</v>
      </c>
      <c r="N109" s="32" t="s">
        <v>1330</v>
      </c>
      <c r="O109" s="32"/>
      <c r="P109" s="42">
        <f t="shared" si="20"/>
        <v>180.9897</v>
      </c>
      <c r="Q109" s="32">
        <f t="shared" si="21"/>
        <v>1</v>
      </c>
      <c r="R109" s="32">
        <f t="shared" ca="1" si="22"/>
        <v>0</v>
      </c>
      <c r="S109" s="33" t="s">
        <v>151</v>
      </c>
      <c r="T109" s="34">
        <f t="shared" si="23"/>
        <v>0</v>
      </c>
      <c r="U109" s="34">
        <f t="shared" ca="1" si="24"/>
        <v>0</v>
      </c>
      <c r="V109" s="34">
        <f>-SUMPRODUCT((S$6:S108=S109)*(X$6:X108=X109))</f>
        <v>-1</v>
      </c>
      <c r="W109" s="34">
        <f>-SUMPRODUCT((S$6:S108=S109)*(X$6:X108=X109)*(B$6:B108&lt;&gt;"NS"))</f>
        <v>-1</v>
      </c>
      <c r="X109" s="35">
        <f t="shared" si="25"/>
        <v>181.18100000000001</v>
      </c>
      <c r="Y109" s="27">
        <v>181</v>
      </c>
      <c r="Z109" s="29"/>
      <c r="AA109" s="27"/>
      <c r="AB109" s="27"/>
      <c r="AC109" s="27"/>
      <c r="AD109" s="27"/>
      <c r="AF109" s="36">
        <v>0</v>
      </c>
      <c r="AG109" s="36">
        <v>0</v>
      </c>
      <c r="AH109" s="36">
        <v>0</v>
      </c>
      <c r="AI109" s="36">
        <v>0</v>
      </c>
      <c r="AJ109" s="37">
        <v>1</v>
      </c>
      <c r="AK109" s="67">
        <v>180.99161000000001</v>
      </c>
      <c r="AL109" s="39">
        <v>181</v>
      </c>
      <c r="AM109" s="32">
        <v>362</v>
      </c>
      <c r="AN109" s="39"/>
      <c r="AO109" s="39"/>
      <c r="AP109" s="39"/>
      <c r="AQ109" s="30"/>
      <c r="AR109" s="26"/>
      <c r="AS109" s="1"/>
    </row>
    <row r="110" spans="1:45">
      <c r="A110" s="1">
        <v>28</v>
      </c>
      <c r="B110" s="1">
        <v>26</v>
      </c>
      <c r="C110" s="40">
        <f t="shared" si="18"/>
        <v>28</v>
      </c>
      <c r="D110" s="40">
        <f t="shared" si="18"/>
        <v>26</v>
      </c>
      <c r="E110" s="1" t="s">
        <v>777</v>
      </c>
      <c r="F110" s="29" t="s">
        <v>25</v>
      </c>
      <c r="G110" s="29">
        <v>28</v>
      </c>
      <c r="H110" s="27">
        <v>66</v>
      </c>
      <c r="I110" s="27">
        <v>77</v>
      </c>
      <c r="J110" s="27"/>
      <c r="K110" s="27"/>
      <c r="L110" s="27"/>
      <c r="M110" s="32">
        <f t="shared" si="19"/>
        <v>171</v>
      </c>
      <c r="N110" s="32" t="s">
        <v>1330</v>
      </c>
      <c r="O110" s="32"/>
      <c r="P110" s="42">
        <f t="shared" si="20"/>
        <v>170.9896</v>
      </c>
      <c r="Q110" s="32">
        <f t="shared" si="21"/>
        <v>3</v>
      </c>
      <c r="R110" s="32">
        <f t="shared" ca="1" si="22"/>
        <v>0</v>
      </c>
      <c r="S110" s="33" t="s">
        <v>151</v>
      </c>
      <c r="T110" s="34">
        <f t="shared" si="23"/>
        <v>0</v>
      </c>
      <c r="U110" s="34">
        <f t="shared" ca="1" si="24"/>
        <v>0</v>
      </c>
      <c r="V110" s="34">
        <f>-SUMPRODUCT((S$6:S109=S110)*(X$6:X109=X110))</f>
        <v>0</v>
      </c>
      <c r="W110" s="34">
        <f>-SUMPRODUCT((S$6:S109=S110)*(X$6:X109=X110)*(B$6:B109&lt;&gt;"NS"))</f>
        <v>0</v>
      </c>
      <c r="X110" s="35">
        <f t="shared" si="25"/>
        <v>171.08387999999999</v>
      </c>
      <c r="Y110" s="27">
        <v>77</v>
      </c>
      <c r="Z110" s="27">
        <v>66</v>
      </c>
      <c r="AA110" s="29">
        <v>28</v>
      </c>
      <c r="AB110" s="27"/>
      <c r="AC110" s="27"/>
      <c r="AD110" s="27"/>
      <c r="AF110" s="36">
        <v>0</v>
      </c>
      <c r="AG110" s="36">
        <v>0</v>
      </c>
      <c r="AH110" s="36">
        <v>0</v>
      </c>
      <c r="AI110" s="36">
        <v>0</v>
      </c>
      <c r="AJ110" s="37">
        <v>3</v>
      </c>
      <c r="AK110" s="67">
        <v>171.02506999999997</v>
      </c>
      <c r="AL110" s="39">
        <v>77</v>
      </c>
      <c r="AM110" s="32">
        <v>220</v>
      </c>
      <c r="AN110" s="39"/>
      <c r="AO110" s="39"/>
      <c r="AP110" s="39"/>
      <c r="AQ110" s="30"/>
      <c r="AR110" s="26"/>
      <c r="AS110" s="1"/>
    </row>
    <row r="111" spans="1:45">
      <c r="A111" s="1">
        <v>29</v>
      </c>
      <c r="B111" s="1">
        <v>27</v>
      </c>
      <c r="C111" s="40">
        <f t="shared" si="18"/>
        <v>29</v>
      </c>
      <c r="D111" s="40">
        <f t="shared" si="18"/>
        <v>27</v>
      </c>
      <c r="E111" s="1" t="s">
        <v>778</v>
      </c>
      <c r="F111" s="29" t="s">
        <v>50</v>
      </c>
      <c r="G111" s="29">
        <v>167</v>
      </c>
      <c r="H111" s="27"/>
      <c r="I111" s="27"/>
      <c r="J111" s="27"/>
      <c r="K111" s="27"/>
      <c r="L111" s="27"/>
      <c r="M111" s="32">
        <f t="shared" si="19"/>
        <v>167</v>
      </c>
      <c r="N111" s="32" t="s">
        <v>1330</v>
      </c>
      <c r="O111" s="32"/>
      <c r="P111" s="42">
        <f t="shared" si="20"/>
        <v>166.98949999999999</v>
      </c>
      <c r="Q111" s="32">
        <f t="shared" si="21"/>
        <v>1</v>
      </c>
      <c r="R111" s="32">
        <f t="shared" ca="1" si="22"/>
        <v>0</v>
      </c>
      <c r="S111" s="33" t="s">
        <v>151</v>
      </c>
      <c r="T111" s="34">
        <f t="shared" si="23"/>
        <v>0</v>
      </c>
      <c r="U111" s="34">
        <f t="shared" ca="1" si="24"/>
        <v>0</v>
      </c>
      <c r="V111" s="34">
        <f>-SUMPRODUCT((S$6:S110=S111)*(X$6:X110=X111))</f>
        <v>0</v>
      </c>
      <c r="W111" s="34">
        <f>-SUMPRODUCT((S$6:S110=S111)*(X$6:X110=X111)*(B$6:B110&lt;&gt;"NS"))</f>
        <v>0</v>
      </c>
      <c r="X111" s="35">
        <f t="shared" si="25"/>
        <v>167.167</v>
      </c>
      <c r="Y111" s="29">
        <v>167</v>
      </c>
      <c r="Z111" s="27"/>
      <c r="AA111" s="27"/>
      <c r="AB111" s="27"/>
      <c r="AC111" s="27"/>
      <c r="AD111" s="27"/>
      <c r="AF111" s="36">
        <v>0</v>
      </c>
      <c r="AG111" s="36">
        <v>0</v>
      </c>
      <c r="AH111" s="36">
        <v>0</v>
      </c>
      <c r="AI111" s="36">
        <v>0</v>
      </c>
      <c r="AJ111" s="37">
        <v>1</v>
      </c>
      <c r="AK111" s="67">
        <v>167.1566</v>
      </c>
      <c r="AL111" s="39">
        <v>167</v>
      </c>
      <c r="AM111" s="32">
        <v>334</v>
      </c>
      <c r="AN111" s="39"/>
      <c r="AO111" s="39"/>
      <c r="AP111" s="39"/>
      <c r="AQ111" s="30"/>
      <c r="AR111" s="26"/>
      <c r="AS111" s="1"/>
    </row>
    <row r="112" spans="1:45">
      <c r="A112" s="1">
        <v>30</v>
      </c>
      <c r="B112" s="1">
        <v>28</v>
      </c>
      <c r="C112" s="40">
        <f t="shared" si="18"/>
        <v>30</v>
      </c>
      <c r="D112" s="40">
        <f t="shared" si="18"/>
        <v>28</v>
      </c>
      <c r="E112" s="1" t="s">
        <v>779</v>
      </c>
      <c r="F112" s="29" t="s">
        <v>162</v>
      </c>
      <c r="G112" s="29">
        <v>151</v>
      </c>
      <c r="H112" s="27"/>
      <c r="I112" s="27"/>
      <c r="J112" s="27"/>
      <c r="K112" s="27"/>
      <c r="L112" s="27"/>
      <c r="M112" s="32">
        <f t="shared" si="19"/>
        <v>151</v>
      </c>
      <c r="N112" s="32" t="s">
        <v>1330</v>
      </c>
      <c r="O112" s="32"/>
      <c r="P112" s="42">
        <f t="shared" si="20"/>
        <v>150.98939999999999</v>
      </c>
      <c r="Q112" s="32">
        <f t="shared" si="21"/>
        <v>1</v>
      </c>
      <c r="R112" s="32">
        <f t="shared" ca="1" si="22"/>
        <v>0</v>
      </c>
      <c r="S112" s="33" t="s">
        <v>151</v>
      </c>
      <c r="T112" s="34">
        <f t="shared" si="23"/>
        <v>0</v>
      </c>
      <c r="U112" s="34">
        <f t="shared" ca="1" si="24"/>
        <v>0</v>
      </c>
      <c r="V112" s="34">
        <f>-SUMPRODUCT((S$6:S111=S112)*(X$6:X111=X112))</f>
        <v>0</v>
      </c>
      <c r="W112" s="34">
        <f>-SUMPRODUCT((S$6:S111=S112)*(X$6:X111=X112)*(B$6:B111&lt;&gt;"NS"))</f>
        <v>0</v>
      </c>
      <c r="X112" s="35">
        <f t="shared" si="25"/>
        <v>151.15100000000001</v>
      </c>
      <c r="Y112" s="29">
        <v>151</v>
      </c>
      <c r="Z112" s="27"/>
      <c r="AA112" s="27"/>
      <c r="AB112" s="27"/>
      <c r="AC112" s="27"/>
      <c r="AD112" s="27"/>
      <c r="AF112" s="36">
        <v>0</v>
      </c>
      <c r="AG112" s="36">
        <v>0</v>
      </c>
      <c r="AH112" s="36">
        <v>0</v>
      </c>
      <c r="AI112" s="36">
        <v>0</v>
      </c>
      <c r="AJ112" s="37">
        <v>1</v>
      </c>
      <c r="AK112" s="67">
        <v>151.1405</v>
      </c>
      <c r="AL112" s="39">
        <v>151</v>
      </c>
      <c r="AM112" s="32">
        <v>302</v>
      </c>
      <c r="AN112" s="39"/>
      <c r="AO112" s="39"/>
      <c r="AP112" s="39"/>
      <c r="AQ112" s="30"/>
      <c r="AR112" s="26"/>
      <c r="AS112" s="1"/>
    </row>
    <row r="113" spans="1:45">
      <c r="A113" s="1">
        <v>31</v>
      </c>
      <c r="B113" s="1">
        <v>29</v>
      </c>
      <c r="C113" s="40">
        <f t="shared" si="18"/>
        <v>31</v>
      </c>
      <c r="D113" s="40">
        <f t="shared" si="18"/>
        <v>29</v>
      </c>
      <c r="E113" s="1" t="s">
        <v>780</v>
      </c>
      <c r="F113" s="29" t="s">
        <v>118</v>
      </c>
      <c r="G113" s="29"/>
      <c r="H113" s="27"/>
      <c r="I113" s="27">
        <v>149</v>
      </c>
      <c r="J113" s="27"/>
      <c r="K113" s="27"/>
      <c r="L113" s="27"/>
      <c r="M113" s="32">
        <f t="shared" si="19"/>
        <v>149</v>
      </c>
      <c r="N113" s="32" t="s">
        <v>1330</v>
      </c>
      <c r="O113" s="32"/>
      <c r="P113" s="42">
        <f t="shared" si="20"/>
        <v>148.98929999999999</v>
      </c>
      <c r="Q113" s="32">
        <f t="shared" si="21"/>
        <v>1</v>
      </c>
      <c r="R113" s="32">
        <f t="shared" ca="1" si="22"/>
        <v>0</v>
      </c>
      <c r="S113" s="33" t="s">
        <v>151</v>
      </c>
      <c r="T113" s="34">
        <f t="shared" si="23"/>
        <v>0</v>
      </c>
      <c r="U113" s="34">
        <f t="shared" ca="1" si="24"/>
        <v>0</v>
      </c>
      <c r="V113" s="34">
        <f>-SUMPRODUCT((S$6:S112=S113)*(X$6:X112=X113))</f>
        <v>0</v>
      </c>
      <c r="W113" s="34">
        <f>-SUMPRODUCT((S$6:S112=S113)*(X$6:X112=X113)*(B$6:B112&lt;&gt;"NS"))</f>
        <v>0</v>
      </c>
      <c r="X113" s="35">
        <f t="shared" si="25"/>
        <v>149.149</v>
      </c>
      <c r="Y113" s="27">
        <v>149</v>
      </c>
      <c r="Z113" s="29"/>
      <c r="AA113" s="27"/>
      <c r="AB113" s="27"/>
      <c r="AC113" s="27"/>
      <c r="AD113" s="27"/>
      <c r="AF113" s="36">
        <v>0</v>
      </c>
      <c r="AG113" s="36">
        <v>0</v>
      </c>
      <c r="AH113" s="36">
        <v>0</v>
      </c>
      <c r="AI113" s="36">
        <v>0</v>
      </c>
      <c r="AJ113" s="37">
        <v>1</v>
      </c>
      <c r="AK113" s="67">
        <v>148.99088999999998</v>
      </c>
      <c r="AL113" s="39">
        <v>149</v>
      </c>
      <c r="AM113" s="32">
        <v>298</v>
      </c>
      <c r="AN113" s="39"/>
      <c r="AO113" s="39"/>
      <c r="AP113" s="39"/>
      <c r="AQ113" s="30"/>
      <c r="AR113" s="26"/>
      <c r="AS113" s="1"/>
    </row>
    <row r="114" spans="1:45">
      <c r="A114" s="1">
        <v>32</v>
      </c>
      <c r="B114" s="1">
        <v>30</v>
      </c>
      <c r="C114" s="40">
        <f t="shared" si="18"/>
        <v>32</v>
      </c>
      <c r="D114" s="40">
        <f t="shared" si="18"/>
        <v>30</v>
      </c>
      <c r="E114" s="1" t="s">
        <v>781</v>
      </c>
      <c r="F114" s="29" t="s">
        <v>162</v>
      </c>
      <c r="G114" s="29">
        <v>130</v>
      </c>
      <c r="H114" s="27"/>
      <c r="I114" s="27"/>
      <c r="J114" s="27"/>
      <c r="K114" s="27"/>
      <c r="L114" s="27"/>
      <c r="M114" s="32">
        <f t="shared" si="19"/>
        <v>130</v>
      </c>
      <c r="N114" s="32" t="s">
        <v>1330</v>
      </c>
      <c r="O114" s="32"/>
      <c r="P114" s="42">
        <f t="shared" si="20"/>
        <v>129.98920000000001</v>
      </c>
      <c r="Q114" s="32">
        <f t="shared" si="21"/>
        <v>1</v>
      </c>
      <c r="R114" s="32">
        <f t="shared" ca="1" si="22"/>
        <v>0</v>
      </c>
      <c r="S114" s="33" t="s">
        <v>151</v>
      </c>
      <c r="T114" s="34">
        <f t="shared" si="23"/>
        <v>0</v>
      </c>
      <c r="U114" s="34">
        <f t="shared" ca="1" si="24"/>
        <v>0</v>
      </c>
      <c r="V114" s="34">
        <f>-SUMPRODUCT((S$6:S113=S114)*(X$6:X113=X114))</f>
        <v>0</v>
      </c>
      <c r="W114" s="34">
        <f>-SUMPRODUCT((S$6:S113=S114)*(X$6:X113=X114)*(B$6:B113&lt;&gt;"NS"))</f>
        <v>0</v>
      </c>
      <c r="X114" s="35">
        <f t="shared" si="25"/>
        <v>130.13</v>
      </c>
      <c r="Y114" s="29">
        <v>130</v>
      </c>
      <c r="Z114" s="27"/>
      <c r="AA114" s="27"/>
      <c r="AB114" s="27"/>
      <c r="AC114" s="27"/>
      <c r="AD114" s="27"/>
      <c r="AF114" s="36">
        <v>0</v>
      </c>
      <c r="AG114" s="36">
        <v>0</v>
      </c>
      <c r="AH114" s="36">
        <v>0</v>
      </c>
      <c r="AI114" s="36">
        <v>0</v>
      </c>
      <c r="AJ114" s="37">
        <v>1</v>
      </c>
      <c r="AK114" s="67">
        <v>130.11929999999998</v>
      </c>
      <c r="AL114" s="39">
        <v>130</v>
      </c>
      <c r="AM114" s="32">
        <v>260</v>
      </c>
      <c r="AN114" s="39"/>
      <c r="AO114" s="39"/>
      <c r="AP114" s="39"/>
      <c r="AQ114" s="30"/>
      <c r="AR114" s="26"/>
      <c r="AS114" s="1"/>
    </row>
    <row r="115" spans="1:45">
      <c r="A115" s="1">
        <v>33</v>
      </c>
      <c r="B115" s="1">
        <v>31</v>
      </c>
      <c r="C115" s="40">
        <f t="shared" si="18"/>
        <v>33</v>
      </c>
      <c r="D115" s="40">
        <f t="shared" si="18"/>
        <v>31</v>
      </c>
      <c r="E115" s="1" t="s">
        <v>782</v>
      </c>
      <c r="F115" s="29" t="s">
        <v>76</v>
      </c>
      <c r="G115" s="29"/>
      <c r="H115" s="27"/>
      <c r="I115" s="27">
        <v>116</v>
      </c>
      <c r="J115" s="27"/>
      <c r="K115" s="27"/>
      <c r="L115" s="27"/>
      <c r="M115" s="32">
        <f t="shared" si="19"/>
        <v>116</v>
      </c>
      <c r="N115" s="32" t="s">
        <v>1330</v>
      </c>
      <c r="O115" s="32"/>
      <c r="P115" s="42">
        <f t="shared" si="20"/>
        <v>115.98909999999999</v>
      </c>
      <c r="Q115" s="32">
        <f t="shared" si="21"/>
        <v>1</v>
      </c>
      <c r="R115" s="32">
        <f t="shared" ca="1" si="22"/>
        <v>0</v>
      </c>
      <c r="S115" s="33" t="s">
        <v>151</v>
      </c>
      <c r="T115" s="34">
        <f t="shared" si="23"/>
        <v>0</v>
      </c>
      <c r="U115" s="34">
        <f t="shared" ca="1" si="24"/>
        <v>0</v>
      </c>
      <c r="V115" s="34">
        <f>-SUMPRODUCT((S$6:S114=S115)*(X$6:X114=X115))</f>
        <v>0</v>
      </c>
      <c r="W115" s="34">
        <f>-SUMPRODUCT((S$6:S114=S115)*(X$6:X114=X115)*(B$6:B114&lt;&gt;"NS"))</f>
        <v>0</v>
      </c>
      <c r="X115" s="35">
        <f t="shared" si="25"/>
        <v>116.116</v>
      </c>
      <c r="Y115" s="27">
        <v>116</v>
      </c>
      <c r="Z115" s="29"/>
      <c r="AA115" s="27"/>
      <c r="AB115" s="27"/>
      <c r="AC115" s="27"/>
      <c r="AD115" s="27"/>
      <c r="AF115" s="36">
        <v>0</v>
      </c>
      <c r="AG115" s="36">
        <v>0</v>
      </c>
      <c r="AH115" s="36">
        <v>0</v>
      </c>
      <c r="AI115" s="36">
        <v>0</v>
      </c>
      <c r="AJ115" s="37">
        <v>1</v>
      </c>
      <c r="AK115" s="67">
        <v>115.99036</v>
      </c>
      <c r="AL115" s="39">
        <v>116</v>
      </c>
      <c r="AM115" s="32">
        <v>232</v>
      </c>
      <c r="AN115" s="39"/>
      <c r="AO115" s="39"/>
      <c r="AP115" s="39"/>
      <c r="AQ115" s="30"/>
      <c r="AR115" s="26"/>
      <c r="AS115" s="1"/>
    </row>
    <row r="116" spans="1:45">
      <c r="A116" s="1">
        <v>34</v>
      </c>
      <c r="B116" s="1">
        <v>32</v>
      </c>
      <c r="C116" s="40">
        <f t="shared" si="18"/>
        <v>34</v>
      </c>
      <c r="D116" s="40">
        <f t="shared" si="18"/>
        <v>32</v>
      </c>
      <c r="E116" s="1" t="s">
        <v>783</v>
      </c>
      <c r="F116" s="29" t="s">
        <v>29</v>
      </c>
      <c r="G116" s="29">
        <v>17</v>
      </c>
      <c r="H116" s="27"/>
      <c r="I116" s="27"/>
      <c r="J116" s="27"/>
      <c r="K116" s="27"/>
      <c r="L116" s="27"/>
      <c r="M116" s="32">
        <f t="shared" si="19"/>
        <v>17</v>
      </c>
      <c r="N116" s="32" t="s">
        <v>1330</v>
      </c>
      <c r="O116" s="32"/>
      <c r="P116" s="42">
        <f t="shared" si="20"/>
        <v>16.989000000000001</v>
      </c>
      <c r="Q116" s="32">
        <f t="shared" si="21"/>
        <v>1</v>
      </c>
      <c r="R116" s="32">
        <f t="shared" ca="1" si="22"/>
        <v>0</v>
      </c>
      <c r="S116" s="33" t="s">
        <v>151</v>
      </c>
      <c r="T116" s="34">
        <f t="shared" si="23"/>
        <v>0</v>
      </c>
      <c r="U116" s="34">
        <f t="shared" ca="1" si="24"/>
        <v>0</v>
      </c>
      <c r="V116" s="34">
        <f>-SUMPRODUCT((S$6:S115=S116)*(X$6:X115=X116))</f>
        <v>0</v>
      </c>
      <c r="W116" s="34">
        <f>-SUMPRODUCT((S$6:S115=S116)*(X$6:X115=X116)*(B$6:B115&lt;&gt;"NS"))</f>
        <v>0</v>
      </c>
      <c r="X116" s="35">
        <f t="shared" si="25"/>
        <v>17.016999999999999</v>
      </c>
      <c r="Y116" s="29">
        <v>17</v>
      </c>
      <c r="Z116" s="27"/>
      <c r="AA116" s="27"/>
      <c r="AB116" s="27"/>
      <c r="AC116" s="27"/>
      <c r="AD116" s="27"/>
      <c r="AF116" s="36">
        <v>0</v>
      </c>
      <c r="AG116" s="36">
        <v>0</v>
      </c>
      <c r="AH116" s="36">
        <v>0</v>
      </c>
      <c r="AI116" s="36">
        <v>0</v>
      </c>
      <c r="AJ116" s="37">
        <v>1</v>
      </c>
      <c r="AK116" s="67">
        <v>17.006</v>
      </c>
      <c r="AL116" s="39">
        <v>17</v>
      </c>
      <c r="AM116" s="32">
        <v>34</v>
      </c>
      <c r="AN116" s="39"/>
      <c r="AO116" s="39"/>
      <c r="AP116" s="39"/>
      <c r="AQ116" s="30"/>
      <c r="AR116" s="26"/>
      <c r="AS116" s="1"/>
    </row>
    <row r="117" spans="1:45" ht="5.0999999999999996" customHeight="1">
      <c r="A117" s="27"/>
      <c r="B117" s="27"/>
      <c r="C117" s="27"/>
      <c r="D117" s="27"/>
      <c r="F117" s="52"/>
      <c r="G117" s="52"/>
      <c r="H117" s="52"/>
      <c r="I117" s="52"/>
      <c r="J117" s="52"/>
      <c r="K117" s="52"/>
      <c r="L117" s="52"/>
      <c r="M117" s="32"/>
      <c r="N117" s="27"/>
      <c r="O117" s="27"/>
      <c r="P117" s="42"/>
      <c r="Q117" s="27"/>
      <c r="R117" s="27"/>
      <c r="T117" s="62"/>
      <c r="U117" s="62"/>
      <c r="V117" s="62"/>
      <c r="W117" s="62"/>
      <c r="X117" s="34"/>
      <c r="Y117" s="27"/>
      <c r="Z117" s="27"/>
      <c r="AA117" s="27"/>
      <c r="AB117" s="27"/>
      <c r="AC117" s="27"/>
      <c r="AD117" s="27"/>
      <c r="AJ117" s="63"/>
      <c r="AK117" s="63"/>
      <c r="AM117" s="26"/>
      <c r="AN117" s="39"/>
      <c r="AO117" s="39"/>
      <c r="AP117" s="39"/>
      <c r="AQ117" s="30"/>
      <c r="AR117" s="26"/>
      <c r="AS117" s="1"/>
    </row>
    <row r="118" spans="1:45">
      <c r="F118" s="27"/>
      <c r="G118" s="27"/>
      <c r="H118" s="27"/>
      <c r="I118" s="27"/>
      <c r="J118" s="27"/>
      <c r="K118" s="27"/>
      <c r="L118" s="27"/>
      <c r="M118" s="32"/>
      <c r="N118" s="27"/>
      <c r="O118" s="27"/>
      <c r="P118" s="42"/>
      <c r="Q118" s="27"/>
      <c r="R118" s="27"/>
      <c r="T118" s="59"/>
      <c r="U118" s="59"/>
      <c r="V118" s="59"/>
      <c r="W118" s="59"/>
      <c r="X118" s="34"/>
      <c r="Y118" s="52"/>
      <c r="Z118" s="52"/>
      <c r="AA118" s="52"/>
      <c r="AB118" s="52"/>
      <c r="AC118" s="52"/>
      <c r="AD118" s="52"/>
      <c r="AJ118" s="63"/>
      <c r="AK118" s="63"/>
      <c r="AM118" s="26"/>
      <c r="AN118" s="39"/>
      <c r="AO118" s="39"/>
      <c r="AP118" s="39"/>
      <c r="AQ118" s="30"/>
      <c r="AR118" s="26"/>
      <c r="AS118" s="1"/>
    </row>
    <row r="119" spans="1:45">
      <c r="E119" s="26" t="s">
        <v>140</v>
      </c>
      <c r="F119" s="27"/>
      <c r="G119" s="27"/>
      <c r="H119" s="27"/>
      <c r="I119" s="27"/>
      <c r="J119" s="27"/>
      <c r="K119" s="27"/>
      <c r="L119" s="27"/>
      <c r="M119" s="32"/>
      <c r="N119" s="27"/>
      <c r="O119" s="27"/>
      <c r="P119" s="42"/>
      <c r="Q119" s="27"/>
      <c r="R119" s="27"/>
      <c r="S119" s="52" t="str">
        <f>E119</f>
        <v>F45</v>
      </c>
      <c r="T119" s="59"/>
      <c r="U119" s="59"/>
      <c r="V119" s="59"/>
      <c r="W119" s="59"/>
      <c r="X119" s="34"/>
      <c r="Y119" s="27"/>
      <c r="Z119" s="52"/>
      <c r="AA119" s="52"/>
      <c r="AB119" s="52"/>
      <c r="AC119" s="52"/>
      <c r="AD119" s="52"/>
      <c r="AJ119" s="63"/>
      <c r="AK119" s="63"/>
      <c r="AM119" s="26"/>
      <c r="AN119" s="39">
        <v>584</v>
      </c>
      <c r="AO119" s="39">
        <v>531</v>
      </c>
      <c r="AP119" s="39">
        <v>493</v>
      </c>
      <c r="AQ119" s="30"/>
      <c r="AR119" s="26"/>
      <c r="AS119" s="1"/>
    </row>
    <row r="120" spans="1:45">
      <c r="A120" s="1">
        <v>1</v>
      </c>
      <c r="B120" s="1">
        <v>1</v>
      </c>
      <c r="C120" s="40">
        <f t="shared" ref="C120:D173" si="26">IF(OR(V120&lt;0,V121&lt;0),"="&amp;A120+V120&amp;" ",A120)</f>
        <v>1</v>
      </c>
      <c r="D120" s="40">
        <f t="shared" si="26"/>
        <v>1</v>
      </c>
      <c r="E120" s="1" t="s">
        <v>144</v>
      </c>
      <c r="F120" s="29" t="s">
        <v>118</v>
      </c>
      <c r="G120" s="29">
        <v>195</v>
      </c>
      <c r="H120" s="27">
        <v>194</v>
      </c>
      <c r="I120" s="27">
        <v>195</v>
      </c>
      <c r="J120" s="27"/>
      <c r="K120" s="27">
        <v>193</v>
      </c>
      <c r="L120" s="27"/>
      <c r="M120" s="32">
        <f t="shared" ref="M120:M173" si="27">IFERROR(LARGE(G120:L120,1),0)+IF($F$5&gt;=2,IFERROR(LARGE(G120:L120,2),0),0)+IF($F$5&gt;=3,IFERROR(LARGE(G120:L120,3),0),0)+IF($F$5&gt;=4,IFERROR(LARGE(G120:L120,4),0),0)+IF($F$5&gt;=5,IFERROR(LARGE(G120:L120,5),0),0)+IF($F$5&gt;=6,IFERROR(LARGE(G120:L120,6),0),0)</f>
        <v>584</v>
      </c>
      <c r="N120" s="32" t="s">
        <v>1330</v>
      </c>
      <c r="O120" s="32" t="s">
        <v>784</v>
      </c>
      <c r="P120" s="42">
        <f t="shared" ref="P120:P173" si="28">M120-(ROW(M120)-ROW(M$6))/10000</f>
        <v>583.98860000000002</v>
      </c>
      <c r="Q120" s="32">
        <f t="shared" ref="Q120:Q173" si="29">COUNT(G120:L120)</f>
        <v>4</v>
      </c>
      <c r="R120" s="32">
        <f t="shared" ref="R120:R173" ca="1" si="30">IF(AND(Q120=1,OFFSET(F120,0,R$3)&gt;0),"Y",0)</f>
        <v>0</v>
      </c>
      <c r="S120" s="33" t="s">
        <v>140</v>
      </c>
      <c r="T120" s="34">
        <f t="shared" ref="T120:T173" si="31">1-(S120=S119)</f>
        <v>0</v>
      </c>
      <c r="U120" s="34">
        <f t="shared" ref="U120:U173" ca="1" si="32">OFFSET(F120,0,$R$3)</f>
        <v>193</v>
      </c>
      <c r="V120" s="34">
        <f>-SUMPRODUCT((S$6:S119=S120)*(X$6:X119=X120))</f>
        <v>0</v>
      </c>
      <c r="W120" s="34">
        <f>-SUMPRODUCT((S$6:S119=S120)*(X$6:X119=X120)*(B$6:B119&lt;&gt;"NS"))</f>
        <v>0</v>
      </c>
      <c r="X120" s="35">
        <f t="shared" ref="X120:X173" si="33">M120+SUMPRODUCT(Y$4:AD$4,Y120:AD120)</f>
        <v>584.21644000000003</v>
      </c>
      <c r="Y120" s="29">
        <v>195</v>
      </c>
      <c r="Z120" s="27">
        <v>195</v>
      </c>
      <c r="AA120" s="27">
        <v>194</v>
      </c>
      <c r="AB120" s="27">
        <v>193</v>
      </c>
      <c r="AC120" s="27"/>
      <c r="AD120" s="27"/>
      <c r="AF120" s="36">
        <v>0</v>
      </c>
      <c r="AG120" s="36">
        <v>0</v>
      </c>
      <c r="AH120" s="36">
        <v>0</v>
      </c>
      <c r="AI120" s="36">
        <v>0</v>
      </c>
      <c r="AJ120" s="37">
        <v>3</v>
      </c>
      <c r="AK120" s="67">
        <v>584.20495000000005</v>
      </c>
      <c r="AL120" s="39">
        <v>195</v>
      </c>
      <c r="AM120" s="32">
        <v>585</v>
      </c>
      <c r="AN120" s="39" t="s">
        <v>784</v>
      </c>
      <c r="AO120" s="39"/>
      <c r="AP120" s="39"/>
      <c r="AQ120" s="30"/>
      <c r="AR120" s="26"/>
      <c r="AS120" s="1"/>
    </row>
    <row r="121" spans="1:45">
      <c r="A121" s="1">
        <v>2</v>
      </c>
      <c r="B121" s="1">
        <v>2</v>
      </c>
      <c r="C121" s="40">
        <f t="shared" si="26"/>
        <v>2</v>
      </c>
      <c r="D121" s="40">
        <f t="shared" si="26"/>
        <v>2</v>
      </c>
      <c r="E121" s="1" t="s">
        <v>139</v>
      </c>
      <c r="F121" s="29" t="s">
        <v>84</v>
      </c>
      <c r="G121" s="29"/>
      <c r="H121" s="27"/>
      <c r="I121" s="27">
        <v>190</v>
      </c>
      <c r="J121" s="27">
        <v>191</v>
      </c>
      <c r="K121" s="27">
        <v>195</v>
      </c>
      <c r="L121" s="27"/>
      <c r="M121" s="32">
        <f t="shared" si="27"/>
        <v>576</v>
      </c>
      <c r="N121" s="32" t="s">
        <v>1330</v>
      </c>
      <c r="O121" s="32" t="s">
        <v>785</v>
      </c>
      <c r="P121" s="42">
        <f t="shared" si="28"/>
        <v>575.98850000000004</v>
      </c>
      <c r="Q121" s="32">
        <f t="shared" si="29"/>
        <v>3</v>
      </c>
      <c r="R121" s="32">
        <f t="shared" ca="1" si="30"/>
        <v>0</v>
      </c>
      <c r="S121" s="33" t="s">
        <v>140</v>
      </c>
      <c r="T121" s="34">
        <f t="shared" si="31"/>
        <v>0</v>
      </c>
      <c r="U121" s="34">
        <f t="shared" ca="1" si="32"/>
        <v>195</v>
      </c>
      <c r="V121" s="34">
        <f>-SUMPRODUCT((S$6:S120=S121)*(X$6:X120=X121))</f>
        <v>0</v>
      </c>
      <c r="W121" s="34">
        <f>-SUMPRODUCT((S$6:S120=S121)*(X$6:X120=X121)*(B$6:B120&lt;&gt;"NS"))</f>
        <v>0</v>
      </c>
      <c r="X121" s="35">
        <f t="shared" si="33"/>
        <v>576.21600000000001</v>
      </c>
      <c r="Y121" s="27">
        <v>195</v>
      </c>
      <c r="Z121" s="27">
        <v>191</v>
      </c>
      <c r="AA121" s="27">
        <v>190</v>
      </c>
      <c r="AB121" s="29"/>
      <c r="AC121" s="27"/>
      <c r="AD121" s="27"/>
      <c r="AF121" s="36">
        <v>0</v>
      </c>
      <c r="AG121" s="36">
        <v>0</v>
      </c>
      <c r="AH121" s="36">
        <v>0</v>
      </c>
      <c r="AI121" s="36">
        <v>0</v>
      </c>
      <c r="AJ121" s="37">
        <v>2</v>
      </c>
      <c r="AK121" s="67">
        <v>380.99</v>
      </c>
      <c r="AL121" s="39">
        <v>191</v>
      </c>
      <c r="AM121" s="32">
        <v>572</v>
      </c>
      <c r="AN121" s="39"/>
      <c r="AO121" s="39" t="s">
        <v>785</v>
      </c>
      <c r="AP121" s="39" t="s">
        <v>786</v>
      </c>
      <c r="AQ121" s="30"/>
      <c r="AR121" s="26"/>
      <c r="AS121" s="1"/>
    </row>
    <row r="122" spans="1:45">
      <c r="A122" s="1">
        <v>3</v>
      </c>
      <c r="B122" s="1">
        <v>3</v>
      </c>
      <c r="C122" s="40">
        <f t="shared" si="26"/>
        <v>3</v>
      </c>
      <c r="D122" s="40">
        <f t="shared" si="26"/>
        <v>3</v>
      </c>
      <c r="E122" s="1" t="s">
        <v>787</v>
      </c>
      <c r="F122" s="29" t="s">
        <v>57</v>
      </c>
      <c r="G122" s="29">
        <v>174</v>
      </c>
      <c r="H122" s="27">
        <v>180</v>
      </c>
      <c r="I122" s="27">
        <v>174</v>
      </c>
      <c r="J122" s="27">
        <v>177</v>
      </c>
      <c r="K122" s="27"/>
      <c r="L122" s="27"/>
      <c r="M122" s="32">
        <f t="shared" si="27"/>
        <v>531</v>
      </c>
      <c r="N122" s="32" t="s">
        <v>1330</v>
      </c>
      <c r="O122" s="32" t="s">
        <v>786</v>
      </c>
      <c r="P122" s="42">
        <f t="shared" si="28"/>
        <v>530.98839999999996</v>
      </c>
      <c r="Q122" s="32">
        <f t="shared" si="29"/>
        <v>4</v>
      </c>
      <c r="R122" s="32">
        <f t="shared" ca="1" si="30"/>
        <v>0</v>
      </c>
      <c r="S122" s="33" t="s">
        <v>140</v>
      </c>
      <c r="T122" s="34">
        <f t="shared" si="31"/>
        <v>0</v>
      </c>
      <c r="U122" s="34">
        <f t="shared" ca="1" si="32"/>
        <v>0</v>
      </c>
      <c r="V122" s="34">
        <f>-SUMPRODUCT((S$6:S121=S122)*(X$6:X121=X122))</f>
        <v>0</v>
      </c>
      <c r="W122" s="34">
        <f>-SUMPRODUCT((S$6:S121=S122)*(X$6:X121=X122)*(B$6:B121&lt;&gt;"NS"))</f>
        <v>0</v>
      </c>
      <c r="X122" s="35">
        <f t="shared" si="33"/>
        <v>531.19943999999998</v>
      </c>
      <c r="Y122" s="27">
        <v>180</v>
      </c>
      <c r="Z122" s="27">
        <v>177</v>
      </c>
      <c r="AA122" s="29">
        <v>174</v>
      </c>
      <c r="AB122" s="27">
        <v>174</v>
      </c>
      <c r="AC122" s="27"/>
      <c r="AD122" s="27"/>
      <c r="AF122" s="36">
        <v>0</v>
      </c>
      <c r="AG122" s="36">
        <v>0</v>
      </c>
      <c r="AH122" s="36">
        <v>0</v>
      </c>
      <c r="AI122" s="36">
        <v>0</v>
      </c>
      <c r="AJ122" s="37">
        <v>4</v>
      </c>
      <c r="AK122" s="67">
        <v>531.18244400000003</v>
      </c>
      <c r="AL122" s="39">
        <v>180</v>
      </c>
      <c r="AM122" s="32">
        <v>537</v>
      </c>
      <c r="AN122" s="39"/>
      <c r="AO122" s="39" t="s">
        <v>785</v>
      </c>
      <c r="AP122" s="39" t="s">
        <v>786</v>
      </c>
      <c r="AQ122" s="30"/>
      <c r="AR122" s="26"/>
      <c r="AS122" s="1"/>
    </row>
    <row r="123" spans="1:45">
      <c r="A123" s="1">
        <v>4</v>
      </c>
      <c r="B123" s="1">
        <v>4</v>
      </c>
      <c r="C123" s="40">
        <f t="shared" si="26"/>
        <v>4</v>
      </c>
      <c r="D123" s="40">
        <f t="shared" si="26"/>
        <v>4</v>
      </c>
      <c r="E123" s="1" t="s">
        <v>788</v>
      </c>
      <c r="F123" s="29" t="s">
        <v>25</v>
      </c>
      <c r="G123" s="29">
        <v>164</v>
      </c>
      <c r="H123" s="27">
        <v>164</v>
      </c>
      <c r="I123" s="27">
        <v>165</v>
      </c>
      <c r="J123" s="27">
        <v>159</v>
      </c>
      <c r="K123" s="27"/>
      <c r="L123" s="27"/>
      <c r="M123" s="32">
        <f t="shared" si="27"/>
        <v>493</v>
      </c>
      <c r="N123" s="32" t="s">
        <v>1330</v>
      </c>
      <c r="O123" s="32"/>
      <c r="P123" s="42">
        <f t="shared" si="28"/>
        <v>492.98829999999998</v>
      </c>
      <c r="Q123" s="32">
        <f t="shared" si="29"/>
        <v>4</v>
      </c>
      <c r="R123" s="32">
        <f t="shared" ca="1" si="30"/>
        <v>0</v>
      </c>
      <c r="S123" s="33" t="s">
        <v>140</v>
      </c>
      <c r="T123" s="34">
        <f t="shared" si="31"/>
        <v>0</v>
      </c>
      <c r="U123" s="34">
        <f t="shared" ca="1" si="32"/>
        <v>0</v>
      </c>
      <c r="V123" s="34">
        <f>-SUMPRODUCT((S$6:S122=S123)*(X$6:X122=X123))</f>
        <v>0</v>
      </c>
      <c r="W123" s="34">
        <f>-SUMPRODUCT((S$6:S122=S123)*(X$6:X122=X123)*(B$6:B122&lt;&gt;"NS"))</f>
        <v>0</v>
      </c>
      <c r="X123" s="35">
        <f t="shared" si="33"/>
        <v>493.18304000000001</v>
      </c>
      <c r="Y123" s="27">
        <v>165</v>
      </c>
      <c r="Z123" s="29">
        <v>164</v>
      </c>
      <c r="AA123" s="27">
        <v>164</v>
      </c>
      <c r="AB123" s="27">
        <v>159</v>
      </c>
      <c r="AC123" s="27"/>
      <c r="AD123" s="27"/>
      <c r="AF123" s="36">
        <v>0</v>
      </c>
      <c r="AG123" s="36">
        <v>0</v>
      </c>
      <c r="AH123" s="36">
        <v>0</v>
      </c>
      <c r="AI123" s="36">
        <v>0</v>
      </c>
      <c r="AJ123" s="37">
        <v>4</v>
      </c>
      <c r="AK123" s="67">
        <v>493.17060899999996</v>
      </c>
      <c r="AL123" s="39">
        <v>165</v>
      </c>
      <c r="AM123" s="32">
        <v>494</v>
      </c>
      <c r="AN123" s="39"/>
      <c r="AO123" s="39"/>
      <c r="AP123" s="39" t="s">
        <v>786</v>
      </c>
      <c r="AQ123" s="30"/>
      <c r="AR123" s="26"/>
      <c r="AS123" s="1"/>
    </row>
    <row r="124" spans="1:45">
      <c r="A124" s="1">
        <v>5</v>
      </c>
      <c r="B124" s="1">
        <v>5</v>
      </c>
      <c r="C124" s="40">
        <f t="shared" si="26"/>
        <v>5</v>
      </c>
      <c r="D124" s="40">
        <f t="shared" si="26"/>
        <v>5</v>
      </c>
      <c r="E124" s="1" t="s">
        <v>789</v>
      </c>
      <c r="F124" s="29" t="s">
        <v>53</v>
      </c>
      <c r="G124" s="29"/>
      <c r="H124" s="27">
        <v>160</v>
      </c>
      <c r="I124" s="27">
        <v>159</v>
      </c>
      <c r="J124" s="27">
        <v>163</v>
      </c>
      <c r="K124" s="27"/>
      <c r="L124" s="27"/>
      <c r="M124" s="32">
        <f t="shared" si="27"/>
        <v>482</v>
      </c>
      <c r="N124" s="32" t="s">
        <v>1330</v>
      </c>
      <c r="O124" s="32"/>
      <c r="P124" s="42">
        <f t="shared" si="28"/>
        <v>481.98820000000001</v>
      </c>
      <c r="Q124" s="32">
        <f t="shared" si="29"/>
        <v>3</v>
      </c>
      <c r="R124" s="32">
        <f t="shared" ca="1" si="30"/>
        <v>0</v>
      </c>
      <c r="S124" s="33" t="s">
        <v>140</v>
      </c>
      <c r="T124" s="34">
        <f t="shared" si="31"/>
        <v>0</v>
      </c>
      <c r="U124" s="34">
        <f t="shared" ca="1" si="32"/>
        <v>0</v>
      </c>
      <c r="V124" s="34">
        <f>-SUMPRODUCT((S$6:S123=S124)*(X$6:X123=X124))</f>
        <v>0</v>
      </c>
      <c r="W124" s="34">
        <f>-SUMPRODUCT((S$6:S123=S124)*(X$6:X123=X124)*(B$6:B123&lt;&gt;"NS"))</f>
        <v>0</v>
      </c>
      <c r="X124" s="35">
        <f t="shared" si="33"/>
        <v>482.18059</v>
      </c>
      <c r="Y124" s="27">
        <v>163</v>
      </c>
      <c r="Z124" s="27">
        <v>160</v>
      </c>
      <c r="AA124" s="27">
        <v>159</v>
      </c>
      <c r="AB124" s="29"/>
      <c r="AC124" s="27"/>
      <c r="AD124" s="27"/>
      <c r="AF124" s="36">
        <v>0</v>
      </c>
      <c r="AG124" s="36">
        <v>0</v>
      </c>
      <c r="AH124" s="36">
        <v>0</v>
      </c>
      <c r="AI124" s="36">
        <v>0</v>
      </c>
      <c r="AJ124" s="37">
        <v>3</v>
      </c>
      <c r="AK124" s="67">
        <v>482.00608899999997</v>
      </c>
      <c r="AL124" s="39">
        <v>163</v>
      </c>
      <c r="AM124" s="32">
        <v>486</v>
      </c>
      <c r="AN124" s="39"/>
      <c r="AO124" s="39"/>
      <c r="AP124" s="39"/>
      <c r="AQ124" s="30"/>
      <c r="AR124" s="26"/>
      <c r="AS124" s="1"/>
    </row>
    <row r="125" spans="1:45">
      <c r="A125" s="1">
        <v>6</v>
      </c>
      <c r="B125" s="1">
        <v>6</v>
      </c>
      <c r="C125" s="40">
        <f t="shared" si="26"/>
        <v>6</v>
      </c>
      <c r="D125" s="40">
        <f t="shared" si="26"/>
        <v>6</v>
      </c>
      <c r="E125" s="1" t="s">
        <v>790</v>
      </c>
      <c r="F125" s="29" t="s">
        <v>412</v>
      </c>
      <c r="G125" s="29">
        <v>150</v>
      </c>
      <c r="H125" s="27">
        <v>152</v>
      </c>
      <c r="I125" s="27"/>
      <c r="J125" s="27">
        <v>169</v>
      </c>
      <c r="K125" s="27"/>
      <c r="L125" s="27"/>
      <c r="M125" s="32">
        <f t="shared" si="27"/>
        <v>471</v>
      </c>
      <c r="N125" s="32" t="s">
        <v>1330</v>
      </c>
      <c r="O125" s="32"/>
      <c r="P125" s="42">
        <f t="shared" si="28"/>
        <v>470.98809999999997</v>
      </c>
      <c r="Q125" s="32">
        <f t="shared" si="29"/>
        <v>3</v>
      </c>
      <c r="R125" s="32">
        <f t="shared" ca="1" si="30"/>
        <v>0</v>
      </c>
      <c r="S125" s="33" t="s">
        <v>140</v>
      </c>
      <c r="T125" s="34">
        <f t="shared" si="31"/>
        <v>0</v>
      </c>
      <c r="U125" s="34">
        <f t="shared" ca="1" si="32"/>
        <v>0</v>
      </c>
      <c r="V125" s="34">
        <f>-SUMPRODUCT((S$6:S124=S125)*(X$6:X124=X125))</f>
        <v>0</v>
      </c>
      <c r="W125" s="34">
        <f>-SUMPRODUCT((S$6:S124=S125)*(X$6:X124=X125)*(B$6:B124&lt;&gt;"NS"))</f>
        <v>0</v>
      </c>
      <c r="X125" s="35">
        <f t="shared" si="33"/>
        <v>471.1857</v>
      </c>
      <c r="Y125" s="27">
        <v>169</v>
      </c>
      <c r="Z125" s="27">
        <v>152</v>
      </c>
      <c r="AA125" s="29">
        <v>150</v>
      </c>
      <c r="AB125" s="27"/>
      <c r="AC125" s="27"/>
      <c r="AD125" s="27"/>
      <c r="AF125" s="36">
        <v>0</v>
      </c>
      <c r="AG125" s="36">
        <v>0</v>
      </c>
      <c r="AH125" s="36">
        <v>0</v>
      </c>
      <c r="AI125" s="36">
        <v>0</v>
      </c>
      <c r="AJ125" s="37">
        <v>3</v>
      </c>
      <c r="AK125" s="67">
        <v>471.15508999999997</v>
      </c>
      <c r="AL125" s="39">
        <v>169</v>
      </c>
      <c r="AM125" s="32">
        <v>490</v>
      </c>
      <c r="AN125" s="39"/>
      <c r="AO125" s="39"/>
      <c r="AP125" s="39"/>
      <c r="AQ125" s="30"/>
      <c r="AR125" s="26"/>
      <c r="AS125" s="1"/>
    </row>
    <row r="126" spans="1:45">
      <c r="A126" s="1">
        <v>7</v>
      </c>
      <c r="B126" s="1">
        <v>7</v>
      </c>
      <c r="C126" s="40">
        <f t="shared" si="26"/>
        <v>7</v>
      </c>
      <c r="D126" s="40">
        <f t="shared" si="26"/>
        <v>7</v>
      </c>
      <c r="E126" s="1" t="s">
        <v>227</v>
      </c>
      <c r="F126" s="29" t="s">
        <v>88</v>
      </c>
      <c r="G126" s="29">
        <v>115</v>
      </c>
      <c r="H126" s="27">
        <v>144</v>
      </c>
      <c r="I126" s="27">
        <v>143</v>
      </c>
      <c r="J126" s="27"/>
      <c r="K126" s="27">
        <v>175</v>
      </c>
      <c r="L126" s="27"/>
      <c r="M126" s="32">
        <f t="shared" si="27"/>
        <v>462</v>
      </c>
      <c r="N126" s="32" t="s">
        <v>1330</v>
      </c>
      <c r="O126" s="32"/>
      <c r="P126" s="42">
        <f t="shared" si="28"/>
        <v>461.988</v>
      </c>
      <c r="Q126" s="32">
        <f t="shared" si="29"/>
        <v>4</v>
      </c>
      <c r="R126" s="32">
        <f t="shared" ca="1" si="30"/>
        <v>0</v>
      </c>
      <c r="S126" s="33" t="s">
        <v>140</v>
      </c>
      <c r="T126" s="34">
        <f t="shared" si="31"/>
        <v>0</v>
      </c>
      <c r="U126" s="34">
        <f t="shared" ca="1" si="32"/>
        <v>175</v>
      </c>
      <c r="V126" s="34">
        <f>-SUMPRODUCT((S$6:S125=S126)*(X$6:X125=X126))</f>
        <v>0</v>
      </c>
      <c r="W126" s="34">
        <f>-SUMPRODUCT((S$6:S125=S126)*(X$6:X125=X126)*(B$6:B125&lt;&gt;"NS"))</f>
        <v>0</v>
      </c>
      <c r="X126" s="35">
        <f t="shared" si="33"/>
        <v>462.19083000000001</v>
      </c>
      <c r="Y126" s="27">
        <v>175</v>
      </c>
      <c r="Z126" s="27">
        <v>144</v>
      </c>
      <c r="AA126" s="27">
        <v>143</v>
      </c>
      <c r="AB126" s="29">
        <v>115</v>
      </c>
      <c r="AC126" s="27"/>
      <c r="AD126" s="27"/>
      <c r="AF126" s="36">
        <v>0</v>
      </c>
      <c r="AG126" s="36">
        <v>0</v>
      </c>
      <c r="AH126" s="36">
        <v>0</v>
      </c>
      <c r="AI126" s="36">
        <v>0</v>
      </c>
      <c r="AJ126" s="37">
        <v>3</v>
      </c>
      <c r="AK126" s="67">
        <v>402.11883000000006</v>
      </c>
      <c r="AL126" s="39">
        <v>144</v>
      </c>
      <c r="AM126" s="32">
        <v>431</v>
      </c>
      <c r="AN126" s="39"/>
      <c r="AO126" s="39"/>
      <c r="AP126" s="39"/>
      <c r="AQ126" s="30"/>
      <c r="AR126" s="26"/>
      <c r="AS126" s="1"/>
    </row>
    <row r="127" spans="1:45">
      <c r="A127" s="1">
        <v>8</v>
      </c>
      <c r="B127" s="1">
        <v>8</v>
      </c>
      <c r="C127" s="40">
        <f t="shared" si="26"/>
        <v>8</v>
      </c>
      <c r="D127" s="40">
        <f t="shared" si="26"/>
        <v>8</v>
      </c>
      <c r="E127" s="1" t="s">
        <v>254</v>
      </c>
      <c r="F127" s="29" t="s">
        <v>38</v>
      </c>
      <c r="G127" s="29">
        <v>138</v>
      </c>
      <c r="H127" s="27">
        <v>134</v>
      </c>
      <c r="I127" s="27">
        <v>141</v>
      </c>
      <c r="J127" s="27">
        <v>134</v>
      </c>
      <c r="K127" s="27">
        <v>165</v>
      </c>
      <c r="L127" s="27"/>
      <c r="M127" s="32">
        <f t="shared" si="27"/>
        <v>444</v>
      </c>
      <c r="N127" s="32" t="s">
        <v>1330</v>
      </c>
      <c r="O127" s="32"/>
      <c r="P127" s="42">
        <f t="shared" si="28"/>
        <v>443.98790000000002</v>
      </c>
      <c r="Q127" s="32">
        <f t="shared" si="29"/>
        <v>5</v>
      </c>
      <c r="R127" s="32">
        <f t="shared" ca="1" si="30"/>
        <v>0</v>
      </c>
      <c r="S127" s="33" t="s">
        <v>140</v>
      </c>
      <c r="T127" s="34">
        <f t="shared" si="31"/>
        <v>0</v>
      </c>
      <c r="U127" s="34">
        <f t="shared" ca="1" si="32"/>
        <v>165</v>
      </c>
      <c r="V127" s="34">
        <f>-SUMPRODUCT((S$6:S126=S127)*(X$6:X126=X127))</f>
        <v>0</v>
      </c>
      <c r="W127" s="34">
        <f>-SUMPRODUCT((S$6:S126=S127)*(X$6:X126=X127)*(B$6:B126&lt;&gt;"NS"))</f>
        <v>0</v>
      </c>
      <c r="X127" s="35">
        <f t="shared" si="33"/>
        <v>444.18047999999999</v>
      </c>
      <c r="Y127" s="27">
        <v>165</v>
      </c>
      <c r="Z127" s="27">
        <v>141</v>
      </c>
      <c r="AA127" s="29">
        <v>138</v>
      </c>
      <c r="AB127" s="27">
        <v>134</v>
      </c>
      <c r="AC127" s="27">
        <v>134</v>
      </c>
      <c r="AD127" s="27"/>
      <c r="AF127" s="36">
        <v>0</v>
      </c>
      <c r="AG127" s="36">
        <v>0</v>
      </c>
      <c r="AH127" s="36">
        <v>0</v>
      </c>
      <c r="AI127" s="36">
        <v>0</v>
      </c>
      <c r="AJ127" s="37">
        <v>4</v>
      </c>
      <c r="AK127" s="67">
        <v>413.14104399999997</v>
      </c>
      <c r="AL127" s="39">
        <v>141</v>
      </c>
      <c r="AM127" s="32">
        <v>420</v>
      </c>
      <c r="AN127" s="39"/>
      <c r="AO127" s="39"/>
      <c r="AP127" s="39"/>
      <c r="AQ127" s="30"/>
      <c r="AR127" s="26"/>
      <c r="AS127" s="1"/>
    </row>
    <row r="128" spans="1:45">
      <c r="A128" s="1">
        <v>9</v>
      </c>
      <c r="B128" s="1">
        <v>9</v>
      </c>
      <c r="C128" s="40">
        <f t="shared" si="26"/>
        <v>9</v>
      </c>
      <c r="D128" s="40">
        <f t="shared" si="26"/>
        <v>9</v>
      </c>
      <c r="E128" s="1" t="s">
        <v>231</v>
      </c>
      <c r="F128" s="29" t="s">
        <v>19</v>
      </c>
      <c r="G128" s="29">
        <v>116</v>
      </c>
      <c r="H128" s="27">
        <v>143</v>
      </c>
      <c r="I128" s="27"/>
      <c r="J128" s="27"/>
      <c r="K128" s="27">
        <v>172</v>
      </c>
      <c r="L128" s="27"/>
      <c r="M128" s="32">
        <f t="shared" si="27"/>
        <v>431</v>
      </c>
      <c r="N128" s="32" t="s">
        <v>1330</v>
      </c>
      <c r="O128" s="32"/>
      <c r="P128" s="42">
        <f t="shared" si="28"/>
        <v>430.98779999999999</v>
      </c>
      <c r="Q128" s="32">
        <f t="shared" si="29"/>
        <v>3</v>
      </c>
      <c r="R128" s="32">
        <f t="shared" ca="1" si="30"/>
        <v>0</v>
      </c>
      <c r="S128" s="33" t="s">
        <v>140</v>
      </c>
      <c r="T128" s="34">
        <f t="shared" si="31"/>
        <v>0</v>
      </c>
      <c r="U128" s="34">
        <f t="shared" ca="1" si="32"/>
        <v>172</v>
      </c>
      <c r="V128" s="34">
        <f>-SUMPRODUCT((S$6:S127=S128)*(X$6:X127=X128))</f>
        <v>0</v>
      </c>
      <c r="W128" s="34">
        <f>-SUMPRODUCT((S$6:S127=S128)*(X$6:X127=X128)*(B$6:B127&lt;&gt;"NS"))</f>
        <v>0</v>
      </c>
      <c r="X128" s="35">
        <f t="shared" si="33"/>
        <v>431.18745999999999</v>
      </c>
      <c r="Y128" s="27">
        <v>172</v>
      </c>
      <c r="Z128" s="27">
        <v>143</v>
      </c>
      <c r="AA128" s="29">
        <v>116</v>
      </c>
      <c r="AB128" s="27"/>
      <c r="AC128" s="27"/>
      <c r="AD128" s="27"/>
      <c r="AF128" s="36">
        <v>0</v>
      </c>
      <c r="AG128" s="36">
        <v>0</v>
      </c>
      <c r="AH128" s="36">
        <v>0</v>
      </c>
      <c r="AI128" s="36">
        <v>0</v>
      </c>
      <c r="AJ128" s="37">
        <v>2</v>
      </c>
      <c r="AK128" s="67">
        <v>259.11719999999997</v>
      </c>
      <c r="AL128" s="39">
        <v>143</v>
      </c>
      <c r="AM128" s="32">
        <v>402</v>
      </c>
      <c r="AN128" s="39"/>
      <c r="AO128" s="39"/>
      <c r="AP128" s="39"/>
      <c r="AQ128" s="30"/>
      <c r="AR128" s="26"/>
      <c r="AS128" s="1"/>
    </row>
    <row r="129" spans="1:45">
      <c r="A129" s="1">
        <v>10</v>
      </c>
      <c r="B129" s="1">
        <v>10</v>
      </c>
      <c r="C129" s="40">
        <f t="shared" si="26"/>
        <v>10</v>
      </c>
      <c r="D129" s="40">
        <f t="shared" si="26"/>
        <v>10</v>
      </c>
      <c r="E129" s="1" t="s">
        <v>256</v>
      </c>
      <c r="F129" s="29" t="s">
        <v>118</v>
      </c>
      <c r="G129" s="29"/>
      <c r="H129" s="27">
        <v>116</v>
      </c>
      <c r="I129" s="27"/>
      <c r="J129" s="27">
        <v>143</v>
      </c>
      <c r="K129" s="27">
        <v>163</v>
      </c>
      <c r="L129" s="27"/>
      <c r="M129" s="32">
        <f t="shared" si="27"/>
        <v>422</v>
      </c>
      <c r="N129" s="32" t="s">
        <v>1330</v>
      </c>
      <c r="O129" s="32"/>
      <c r="P129" s="42">
        <f t="shared" si="28"/>
        <v>421.98770000000002</v>
      </c>
      <c r="Q129" s="32">
        <f t="shared" si="29"/>
        <v>3</v>
      </c>
      <c r="R129" s="32">
        <f t="shared" ca="1" si="30"/>
        <v>0</v>
      </c>
      <c r="S129" s="33" t="s">
        <v>140</v>
      </c>
      <c r="T129" s="34">
        <f t="shared" si="31"/>
        <v>0</v>
      </c>
      <c r="U129" s="34">
        <f t="shared" ca="1" si="32"/>
        <v>163</v>
      </c>
      <c r="V129" s="34">
        <f>-SUMPRODUCT((S$6:S128=S129)*(X$6:X128=X129))</f>
        <v>0</v>
      </c>
      <c r="W129" s="34">
        <f>-SUMPRODUCT((S$6:S128=S129)*(X$6:X128=X129)*(B$6:B128&lt;&gt;"NS"))</f>
        <v>0</v>
      </c>
      <c r="X129" s="35">
        <f t="shared" si="33"/>
        <v>422.17845999999997</v>
      </c>
      <c r="Y129" s="27">
        <v>163</v>
      </c>
      <c r="Z129" s="27">
        <v>143</v>
      </c>
      <c r="AA129" s="27">
        <v>116</v>
      </c>
      <c r="AB129" s="29"/>
      <c r="AC129" s="27"/>
      <c r="AD129" s="27"/>
      <c r="AF129" s="36">
        <v>0</v>
      </c>
      <c r="AG129" s="36">
        <v>0</v>
      </c>
      <c r="AH129" s="36">
        <v>0</v>
      </c>
      <c r="AI129" s="36">
        <v>0</v>
      </c>
      <c r="AJ129" s="37">
        <v>2</v>
      </c>
      <c r="AK129" s="67">
        <v>258.99983000000003</v>
      </c>
      <c r="AL129" s="39">
        <v>143</v>
      </c>
      <c r="AM129" s="32">
        <v>402</v>
      </c>
      <c r="AN129" s="39"/>
      <c r="AO129" s="39"/>
      <c r="AP129" s="39"/>
      <c r="AQ129" s="30"/>
      <c r="AR129" s="26"/>
      <c r="AS129" s="1"/>
    </row>
    <row r="130" spans="1:45">
      <c r="A130" s="1">
        <v>11</v>
      </c>
      <c r="B130" s="1">
        <v>11</v>
      </c>
      <c r="C130" s="40">
        <f t="shared" si="26"/>
        <v>11</v>
      </c>
      <c r="D130" s="40">
        <f t="shared" si="26"/>
        <v>11</v>
      </c>
      <c r="E130" s="1" t="s">
        <v>240</v>
      </c>
      <c r="F130" s="29" t="s">
        <v>19</v>
      </c>
      <c r="G130" s="29">
        <v>97</v>
      </c>
      <c r="H130" s="27"/>
      <c r="I130" s="27"/>
      <c r="J130" s="27">
        <v>131</v>
      </c>
      <c r="K130" s="27">
        <v>168</v>
      </c>
      <c r="L130" s="27"/>
      <c r="M130" s="32">
        <f t="shared" si="27"/>
        <v>396</v>
      </c>
      <c r="N130" s="32" t="s">
        <v>1330</v>
      </c>
      <c r="O130" s="32"/>
      <c r="P130" s="42">
        <f t="shared" si="28"/>
        <v>395.98759999999999</v>
      </c>
      <c r="Q130" s="32">
        <f t="shared" si="29"/>
        <v>3</v>
      </c>
      <c r="R130" s="32">
        <f t="shared" ca="1" si="30"/>
        <v>0</v>
      </c>
      <c r="S130" s="33" t="s">
        <v>140</v>
      </c>
      <c r="T130" s="34">
        <f t="shared" si="31"/>
        <v>0</v>
      </c>
      <c r="U130" s="34">
        <f t="shared" ca="1" si="32"/>
        <v>168</v>
      </c>
      <c r="V130" s="34">
        <f>-SUMPRODUCT((S$6:S129=S130)*(X$6:X129=X130))</f>
        <v>0</v>
      </c>
      <c r="W130" s="34">
        <f>-SUMPRODUCT((S$6:S129=S130)*(X$6:X129=X130)*(B$6:B129&lt;&gt;"NS"))</f>
        <v>0</v>
      </c>
      <c r="X130" s="35">
        <f t="shared" si="33"/>
        <v>396.18207000000001</v>
      </c>
      <c r="Y130" s="27">
        <v>168</v>
      </c>
      <c r="Z130" s="27">
        <v>131</v>
      </c>
      <c r="AA130" s="29">
        <v>97</v>
      </c>
      <c r="AB130" s="27"/>
      <c r="AC130" s="27"/>
      <c r="AD130" s="27"/>
      <c r="AF130" s="36">
        <v>0</v>
      </c>
      <c r="AG130" s="36">
        <v>0</v>
      </c>
      <c r="AH130" s="36">
        <v>0</v>
      </c>
      <c r="AI130" s="36">
        <v>0</v>
      </c>
      <c r="AJ130" s="37">
        <v>2</v>
      </c>
      <c r="AK130" s="67">
        <v>228.08491000000001</v>
      </c>
      <c r="AL130" s="39">
        <v>131</v>
      </c>
      <c r="AM130" s="32">
        <v>359</v>
      </c>
      <c r="AN130" s="39"/>
      <c r="AO130" s="39"/>
      <c r="AP130" s="39"/>
      <c r="AQ130" s="30"/>
      <c r="AR130" s="26"/>
      <c r="AS130" s="1"/>
    </row>
    <row r="131" spans="1:45">
      <c r="A131" s="1">
        <v>12</v>
      </c>
      <c r="B131" s="1">
        <v>12</v>
      </c>
      <c r="C131" s="40">
        <f t="shared" si="26"/>
        <v>12</v>
      </c>
      <c r="D131" s="40">
        <f t="shared" si="26"/>
        <v>12</v>
      </c>
      <c r="E131" s="1" t="s">
        <v>331</v>
      </c>
      <c r="F131" s="29" t="s">
        <v>84</v>
      </c>
      <c r="G131" s="29">
        <v>71</v>
      </c>
      <c r="H131" s="27">
        <v>72</v>
      </c>
      <c r="I131" s="27">
        <v>113</v>
      </c>
      <c r="J131" s="27">
        <v>125</v>
      </c>
      <c r="K131" s="27">
        <v>131</v>
      </c>
      <c r="L131" s="27"/>
      <c r="M131" s="32">
        <f t="shared" si="27"/>
        <v>369</v>
      </c>
      <c r="N131" s="32" t="s">
        <v>1330</v>
      </c>
      <c r="O131" s="32"/>
      <c r="P131" s="42">
        <f t="shared" si="28"/>
        <v>368.98750000000001</v>
      </c>
      <c r="Q131" s="32">
        <f t="shared" si="29"/>
        <v>5</v>
      </c>
      <c r="R131" s="32">
        <f t="shared" ca="1" si="30"/>
        <v>0</v>
      </c>
      <c r="S131" s="33" t="s">
        <v>140</v>
      </c>
      <c r="T131" s="34">
        <f t="shared" si="31"/>
        <v>0</v>
      </c>
      <c r="U131" s="34">
        <f t="shared" ca="1" si="32"/>
        <v>131</v>
      </c>
      <c r="V131" s="34">
        <f>-SUMPRODUCT((S$6:S130=S131)*(X$6:X130=X131))</f>
        <v>0</v>
      </c>
      <c r="W131" s="34">
        <f>-SUMPRODUCT((S$6:S130=S131)*(X$6:X130=X131)*(B$6:B130&lt;&gt;"NS"))</f>
        <v>0</v>
      </c>
      <c r="X131" s="35">
        <f t="shared" si="33"/>
        <v>369.14463000000001</v>
      </c>
      <c r="Y131" s="27">
        <v>131</v>
      </c>
      <c r="Z131" s="27">
        <v>125</v>
      </c>
      <c r="AA131" s="27">
        <v>113</v>
      </c>
      <c r="AB131" s="27">
        <v>72</v>
      </c>
      <c r="AC131" s="29">
        <v>71</v>
      </c>
      <c r="AD131" s="27"/>
      <c r="AF131" s="36">
        <v>0</v>
      </c>
      <c r="AG131" s="36">
        <v>0</v>
      </c>
      <c r="AH131" s="36">
        <v>0</v>
      </c>
      <c r="AI131" s="36">
        <v>0</v>
      </c>
      <c r="AJ131" s="37">
        <v>4</v>
      </c>
      <c r="AK131" s="67">
        <v>310.06696300000004</v>
      </c>
      <c r="AL131" s="39">
        <v>125</v>
      </c>
      <c r="AM131" s="32">
        <v>363</v>
      </c>
      <c r="AN131" s="39"/>
      <c r="AO131" s="39"/>
      <c r="AP131" s="39"/>
      <c r="AQ131" s="30"/>
      <c r="AR131" s="26"/>
      <c r="AS131" s="1"/>
    </row>
    <row r="132" spans="1:45">
      <c r="A132" s="1">
        <v>13</v>
      </c>
      <c r="B132" s="1">
        <v>13</v>
      </c>
      <c r="C132" s="40">
        <f t="shared" si="26"/>
        <v>13</v>
      </c>
      <c r="D132" s="40">
        <f t="shared" si="26"/>
        <v>13</v>
      </c>
      <c r="E132" s="1" t="s">
        <v>791</v>
      </c>
      <c r="F132" s="29" t="s">
        <v>66</v>
      </c>
      <c r="G132" s="29">
        <v>180</v>
      </c>
      <c r="H132" s="27"/>
      <c r="I132" s="27"/>
      <c r="J132" s="27">
        <v>187</v>
      </c>
      <c r="K132" s="27"/>
      <c r="L132" s="27"/>
      <c r="M132" s="32">
        <f t="shared" si="27"/>
        <v>367</v>
      </c>
      <c r="N132" s="32" t="s">
        <v>1330</v>
      </c>
      <c r="O132" s="32"/>
      <c r="P132" s="42">
        <f t="shared" si="28"/>
        <v>366.98739999999998</v>
      </c>
      <c r="Q132" s="32">
        <f t="shared" si="29"/>
        <v>2</v>
      </c>
      <c r="R132" s="32">
        <f t="shared" ca="1" si="30"/>
        <v>0</v>
      </c>
      <c r="S132" s="33" t="s">
        <v>140</v>
      </c>
      <c r="T132" s="34">
        <f t="shared" si="31"/>
        <v>0</v>
      </c>
      <c r="U132" s="34">
        <f t="shared" ca="1" si="32"/>
        <v>0</v>
      </c>
      <c r="V132" s="34">
        <f>-SUMPRODUCT((S$6:S131=S132)*(X$6:X131=X132))</f>
        <v>0</v>
      </c>
      <c r="W132" s="34">
        <f>-SUMPRODUCT((S$6:S131=S132)*(X$6:X131=X132)*(B$6:B131&lt;&gt;"NS"))</f>
        <v>0</v>
      </c>
      <c r="X132" s="35">
        <f t="shared" si="33"/>
        <v>367.20499999999998</v>
      </c>
      <c r="Y132" s="27">
        <v>187</v>
      </c>
      <c r="Z132" s="29">
        <v>180</v>
      </c>
      <c r="AA132" s="27"/>
      <c r="AB132" s="27"/>
      <c r="AC132" s="27"/>
      <c r="AD132" s="27"/>
      <c r="AF132" s="36">
        <v>0</v>
      </c>
      <c r="AG132" s="36">
        <v>0</v>
      </c>
      <c r="AH132" s="36">
        <v>0</v>
      </c>
      <c r="AI132" s="36">
        <v>0</v>
      </c>
      <c r="AJ132" s="37">
        <v>2</v>
      </c>
      <c r="AK132" s="67">
        <v>367.16967</v>
      </c>
      <c r="AL132" s="39">
        <v>187</v>
      </c>
      <c r="AM132" s="32">
        <v>554</v>
      </c>
      <c r="AN132" s="39"/>
      <c r="AO132" s="39" t="s">
        <v>785</v>
      </c>
      <c r="AP132" s="39" t="s">
        <v>786</v>
      </c>
      <c r="AQ132" s="30"/>
      <c r="AR132" s="26"/>
      <c r="AS132" s="1"/>
    </row>
    <row r="133" spans="1:45">
      <c r="A133" s="1">
        <v>14</v>
      </c>
      <c r="B133" s="1">
        <v>14</v>
      </c>
      <c r="C133" s="40">
        <f t="shared" si="26"/>
        <v>14</v>
      </c>
      <c r="D133" s="40">
        <f t="shared" si="26"/>
        <v>14</v>
      </c>
      <c r="E133" s="1" t="s">
        <v>792</v>
      </c>
      <c r="F133" s="29" t="s">
        <v>69</v>
      </c>
      <c r="G133" s="29">
        <v>179</v>
      </c>
      <c r="H133" s="27"/>
      <c r="I133" s="27"/>
      <c r="J133" s="27">
        <v>178</v>
      </c>
      <c r="K133" s="27"/>
      <c r="L133" s="27"/>
      <c r="M133" s="32">
        <f t="shared" si="27"/>
        <v>357</v>
      </c>
      <c r="N133" s="32" t="s">
        <v>1330</v>
      </c>
      <c r="O133" s="32"/>
      <c r="P133" s="42">
        <f t="shared" si="28"/>
        <v>356.9873</v>
      </c>
      <c r="Q133" s="32">
        <f t="shared" si="29"/>
        <v>2</v>
      </c>
      <c r="R133" s="32">
        <f t="shared" ca="1" si="30"/>
        <v>0</v>
      </c>
      <c r="S133" s="33" t="s">
        <v>140</v>
      </c>
      <c r="T133" s="34">
        <f t="shared" si="31"/>
        <v>0</v>
      </c>
      <c r="U133" s="34">
        <f t="shared" ca="1" si="32"/>
        <v>0</v>
      </c>
      <c r="V133" s="34">
        <f>-SUMPRODUCT((S$6:S132=S133)*(X$6:X132=X133))</f>
        <v>0</v>
      </c>
      <c r="W133" s="34">
        <f>-SUMPRODUCT((S$6:S132=S133)*(X$6:X132=X133)*(B$6:B132&lt;&gt;"NS"))</f>
        <v>0</v>
      </c>
      <c r="X133" s="35">
        <f t="shared" si="33"/>
        <v>357.1968</v>
      </c>
      <c r="Y133" s="29">
        <v>179</v>
      </c>
      <c r="Z133" s="27">
        <v>178</v>
      </c>
      <c r="AA133" s="27"/>
      <c r="AB133" s="27"/>
      <c r="AC133" s="27"/>
      <c r="AD133" s="27"/>
      <c r="AF133" s="36">
        <v>0</v>
      </c>
      <c r="AG133" s="36">
        <v>0</v>
      </c>
      <c r="AH133" s="36">
        <v>0</v>
      </c>
      <c r="AI133" s="36">
        <v>0</v>
      </c>
      <c r="AJ133" s="37">
        <v>2</v>
      </c>
      <c r="AK133" s="67">
        <v>357.16847999999999</v>
      </c>
      <c r="AL133" s="39">
        <v>179</v>
      </c>
      <c r="AM133" s="32">
        <v>536</v>
      </c>
      <c r="AN133" s="39"/>
      <c r="AO133" s="39" t="s">
        <v>785</v>
      </c>
      <c r="AP133" s="39" t="s">
        <v>786</v>
      </c>
      <c r="AQ133" s="30"/>
      <c r="AR133" s="26"/>
      <c r="AS133" s="1"/>
    </row>
    <row r="134" spans="1:45">
      <c r="A134" s="1">
        <v>15</v>
      </c>
      <c r="B134" s="1">
        <v>15</v>
      </c>
      <c r="C134" s="40">
        <f t="shared" si="26"/>
        <v>15</v>
      </c>
      <c r="D134" s="40">
        <f t="shared" si="26"/>
        <v>15</v>
      </c>
      <c r="E134" s="1" t="s">
        <v>793</v>
      </c>
      <c r="F134" s="29" t="s">
        <v>29</v>
      </c>
      <c r="G134" s="29">
        <v>105</v>
      </c>
      <c r="H134" s="27">
        <v>127</v>
      </c>
      <c r="I134" s="27">
        <v>125</v>
      </c>
      <c r="J134" s="27"/>
      <c r="K134" s="27"/>
      <c r="L134" s="27"/>
      <c r="M134" s="32">
        <f t="shared" si="27"/>
        <v>357</v>
      </c>
      <c r="N134" s="32" t="s">
        <v>1330</v>
      </c>
      <c r="O134" s="32"/>
      <c r="P134" s="42">
        <f t="shared" si="28"/>
        <v>356.98719999999997</v>
      </c>
      <c r="Q134" s="32">
        <f t="shared" si="29"/>
        <v>3</v>
      </c>
      <c r="R134" s="32">
        <f t="shared" ca="1" si="30"/>
        <v>0</v>
      </c>
      <c r="S134" s="33" t="s">
        <v>140</v>
      </c>
      <c r="T134" s="34">
        <f t="shared" si="31"/>
        <v>0</v>
      </c>
      <c r="U134" s="34">
        <f t="shared" ca="1" si="32"/>
        <v>0</v>
      </c>
      <c r="V134" s="34">
        <f>-SUMPRODUCT((S$6:S133=S134)*(X$6:X133=X134))</f>
        <v>0</v>
      </c>
      <c r="W134" s="34">
        <f>-SUMPRODUCT((S$6:S133=S134)*(X$6:X133=X134)*(B$6:B133&lt;&gt;"NS"))</f>
        <v>0</v>
      </c>
      <c r="X134" s="35">
        <f t="shared" si="33"/>
        <v>357.14055000000002</v>
      </c>
      <c r="Y134" s="27">
        <v>127</v>
      </c>
      <c r="Z134" s="27">
        <v>125</v>
      </c>
      <c r="AA134" s="29">
        <v>105</v>
      </c>
      <c r="AB134" s="27"/>
      <c r="AC134" s="27"/>
      <c r="AD134" s="27"/>
      <c r="AF134" s="36">
        <v>0</v>
      </c>
      <c r="AG134" s="36">
        <v>0</v>
      </c>
      <c r="AH134" s="36">
        <v>0</v>
      </c>
      <c r="AI134" s="36">
        <v>0</v>
      </c>
      <c r="AJ134" s="37">
        <v>3</v>
      </c>
      <c r="AK134" s="67">
        <v>357.10655000000003</v>
      </c>
      <c r="AL134" s="39">
        <v>127</v>
      </c>
      <c r="AM134" s="32">
        <v>379</v>
      </c>
      <c r="AN134" s="39"/>
      <c r="AO134" s="39"/>
      <c r="AP134" s="39"/>
      <c r="AQ134" s="30"/>
      <c r="AR134" s="26"/>
      <c r="AS134" s="1"/>
    </row>
    <row r="135" spans="1:45">
      <c r="A135" s="1">
        <v>16</v>
      </c>
      <c r="B135" s="1">
        <v>16</v>
      </c>
      <c r="C135" s="40">
        <f t="shared" si="26"/>
        <v>16</v>
      </c>
      <c r="D135" s="40">
        <f t="shared" si="26"/>
        <v>16</v>
      </c>
      <c r="E135" s="1" t="s">
        <v>298</v>
      </c>
      <c r="F135" s="29" t="s">
        <v>84</v>
      </c>
      <c r="G135" s="29">
        <v>86</v>
      </c>
      <c r="H135" s="27">
        <v>103</v>
      </c>
      <c r="I135" s="27">
        <v>105</v>
      </c>
      <c r="J135" s="27"/>
      <c r="K135" s="27">
        <v>148</v>
      </c>
      <c r="L135" s="27"/>
      <c r="M135" s="32">
        <f t="shared" si="27"/>
        <v>356</v>
      </c>
      <c r="N135" s="32" t="s">
        <v>1330</v>
      </c>
      <c r="O135" s="32"/>
      <c r="P135" s="42">
        <f t="shared" si="28"/>
        <v>355.9871</v>
      </c>
      <c r="Q135" s="32">
        <f t="shared" si="29"/>
        <v>4</v>
      </c>
      <c r="R135" s="32">
        <f t="shared" ca="1" si="30"/>
        <v>0</v>
      </c>
      <c r="S135" s="33" t="s">
        <v>140</v>
      </c>
      <c r="T135" s="34">
        <f t="shared" si="31"/>
        <v>0</v>
      </c>
      <c r="U135" s="34">
        <f t="shared" ca="1" si="32"/>
        <v>148</v>
      </c>
      <c r="V135" s="34">
        <f>-SUMPRODUCT((S$6:S134=S135)*(X$6:X134=X135))</f>
        <v>0</v>
      </c>
      <c r="W135" s="34">
        <f>-SUMPRODUCT((S$6:S134=S135)*(X$6:X134=X135)*(B$6:B134&lt;&gt;"NS"))</f>
        <v>0</v>
      </c>
      <c r="X135" s="35">
        <f t="shared" si="33"/>
        <v>356.15953000000002</v>
      </c>
      <c r="Y135" s="27">
        <v>148</v>
      </c>
      <c r="Z135" s="27">
        <v>105</v>
      </c>
      <c r="AA135" s="27">
        <v>103</v>
      </c>
      <c r="AB135" s="29">
        <v>86</v>
      </c>
      <c r="AC135" s="27"/>
      <c r="AD135" s="27"/>
      <c r="AF135" s="36">
        <v>0</v>
      </c>
      <c r="AG135" s="36">
        <v>0</v>
      </c>
      <c r="AH135" s="36">
        <v>0</v>
      </c>
      <c r="AI135" s="36">
        <v>0</v>
      </c>
      <c r="AJ135" s="37">
        <v>3</v>
      </c>
      <c r="AK135" s="67">
        <v>294.08465000000001</v>
      </c>
      <c r="AL135" s="39">
        <v>105</v>
      </c>
      <c r="AM135" s="32">
        <v>313</v>
      </c>
      <c r="AN135" s="39"/>
      <c r="AO135" s="39"/>
      <c r="AP135" s="39"/>
      <c r="AQ135" s="30"/>
      <c r="AR135" s="26"/>
      <c r="AS135" s="1"/>
    </row>
    <row r="136" spans="1:45">
      <c r="A136" s="1">
        <v>17</v>
      </c>
      <c r="B136" s="1">
        <v>17</v>
      </c>
      <c r="C136" s="40">
        <f t="shared" si="26"/>
        <v>17</v>
      </c>
      <c r="D136" s="40">
        <f t="shared" si="26"/>
        <v>17</v>
      </c>
      <c r="E136" s="1" t="s">
        <v>309</v>
      </c>
      <c r="F136" s="29" t="s">
        <v>252</v>
      </c>
      <c r="G136" s="29">
        <v>81</v>
      </c>
      <c r="H136" s="27">
        <v>99</v>
      </c>
      <c r="I136" s="27">
        <v>107</v>
      </c>
      <c r="J136" s="27"/>
      <c r="K136" s="27">
        <v>145</v>
      </c>
      <c r="L136" s="27"/>
      <c r="M136" s="32">
        <f t="shared" si="27"/>
        <v>351</v>
      </c>
      <c r="N136" s="32" t="s">
        <v>1330</v>
      </c>
      <c r="O136" s="32"/>
      <c r="P136" s="42">
        <f t="shared" si="28"/>
        <v>350.98700000000002</v>
      </c>
      <c r="Q136" s="32">
        <f t="shared" si="29"/>
        <v>4</v>
      </c>
      <c r="R136" s="32">
        <f t="shared" ca="1" si="30"/>
        <v>0</v>
      </c>
      <c r="S136" s="33" t="s">
        <v>140</v>
      </c>
      <c r="T136" s="34">
        <f t="shared" si="31"/>
        <v>0</v>
      </c>
      <c r="U136" s="34">
        <f t="shared" ca="1" si="32"/>
        <v>145</v>
      </c>
      <c r="V136" s="34">
        <f>-SUMPRODUCT((S$6:S135=S136)*(X$6:X135=X136))</f>
        <v>0</v>
      </c>
      <c r="W136" s="34">
        <f>-SUMPRODUCT((S$6:S135=S136)*(X$6:X135=X136)*(B$6:B135&lt;&gt;"NS"))</f>
        <v>0</v>
      </c>
      <c r="X136" s="35">
        <f t="shared" si="33"/>
        <v>351.15669000000003</v>
      </c>
      <c r="Y136" s="27">
        <v>145</v>
      </c>
      <c r="Z136" s="27">
        <v>107</v>
      </c>
      <c r="AA136" s="27">
        <v>99</v>
      </c>
      <c r="AB136" s="29">
        <v>81</v>
      </c>
      <c r="AC136" s="27"/>
      <c r="AD136" s="27"/>
      <c r="AF136" s="36">
        <v>0</v>
      </c>
      <c r="AG136" s="36">
        <v>0</v>
      </c>
      <c r="AH136" s="36">
        <v>0</v>
      </c>
      <c r="AI136" s="36">
        <v>0</v>
      </c>
      <c r="AJ136" s="37">
        <v>3</v>
      </c>
      <c r="AK136" s="67">
        <v>287.07917000000003</v>
      </c>
      <c r="AL136" s="39">
        <v>107</v>
      </c>
      <c r="AM136" s="32">
        <v>313</v>
      </c>
      <c r="AN136" s="39"/>
      <c r="AO136" s="39"/>
      <c r="AP136" s="39"/>
      <c r="AQ136" s="30"/>
      <c r="AR136" s="26"/>
      <c r="AS136" s="1"/>
    </row>
    <row r="137" spans="1:45">
      <c r="A137" s="1">
        <v>18</v>
      </c>
      <c r="B137" s="1">
        <v>18</v>
      </c>
      <c r="C137" s="40">
        <f t="shared" si="26"/>
        <v>18</v>
      </c>
      <c r="D137" s="40">
        <f t="shared" si="26"/>
        <v>18</v>
      </c>
      <c r="E137" s="1" t="s">
        <v>794</v>
      </c>
      <c r="F137" s="29" t="s">
        <v>162</v>
      </c>
      <c r="G137" s="29">
        <v>172</v>
      </c>
      <c r="H137" s="27"/>
      <c r="I137" s="27"/>
      <c r="J137" s="27">
        <v>167</v>
      </c>
      <c r="K137" s="27"/>
      <c r="L137" s="27"/>
      <c r="M137" s="32">
        <f t="shared" si="27"/>
        <v>339</v>
      </c>
      <c r="N137" s="32" t="s">
        <v>1330</v>
      </c>
      <c r="O137" s="32"/>
      <c r="P137" s="42">
        <f t="shared" si="28"/>
        <v>338.98689999999999</v>
      </c>
      <c r="Q137" s="32">
        <f t="shared" si="29"/>
        <v>2</v>
      </c>
      <c r="R137" s="32">
        <f t="shared" ca="1" si="30"/>
        <v>0</v>
      </c>
      <c r="S137" s="33" t="s">
        <v>140</v>
      </c>
      <c r="T137" s="34">
        <f t="shared" si="31"/>
        <v>0</v>
      </c>
      <c r="U137" s="34">
        <f t="shared" ca="1" si="32"/>
        <v>0</v>
      </c>
      <c r="V137" s="34">
        <f>-SUMPRODUCT((S$6:S136=S137)*(X$6:X136=X137))</f>
        <v>0</v>
      </c>
      <c r="W137" s="34">
        <f>-SUMPRODUCT((S$6:S136=S137)*(X$6:X136=X137)*(B$6:B136&lt;&gt;"NS"))</f>
        <v>0</v>
      </c>
      <c r="X137" s="35">
        <f t="shared" si="33"/>
        <v>339.18869999999998</v>
      </c>
      <c r="Y137" s="29">
        <v>172</v>
      </c>
      <c r="Z137" s="27">
        <v>167</v>
      </c>
      <c r="AA137" s="27"/>
      <c r="AB137" s="27"/>
      <c r="AC137" s="27"/>
      <c r="AD137" s="27"/>
      <c r="AF137" s="36">
        <v>0</v>
      </c>
      <c r="AG137" s="36">
        <v>0</v>
      </c>
      <c r="AH137" s="36">
        <v>0</v>
      </c>
      <c r="AI137" s="36">
        <v>0</v>
      </c>
      <c r="AJ137" s="37">
        <v>2</v>
      </c>
      <c r="AK137" s="67">
        <v>339.16117000000003</v>
      </c>
      <c r="AL137" s="39">
        <v>172</v>
      </c>
      <c r="AM137" s="32">
        <v>511</v>
      </c>
      <c r="AN137" s="39"/>
      <c r="AO137" s="39"/>
      <c r="AP137" s="39" t="s">
        <v>786</v>
      </c>
      <c r="AQ137" s="30"/>
      <c r="AR137" s="26"/>
      <c r="AS137" s="1"/>
    </row>
    <row r="138" spans="1:45">
      <c r="A138" s="1">
        <v>19</v>
      </c>
      <c r="B138" s="1">
        <v>19</v>
      </c>
      <c r="C138" s="40">
        <f t="shared" si="26"/>
        <v>19</v>
      </c>
      <c r="D138" s="40">
        <f t="shared" si="26"/>
        <v>19</v>
      </c>
      <c r="E138" s="1" t="s">
        <v>308</v>
      </c>
      <c r="F138" s="29" t="s">
        <v>47</v>
      </c>
      <c r="G138" s="29">
        <v>43</v>
      </c>
      <c r="H138" s="27"/>
      <c r="I138" s="27">
        <v>82</v>
      </c>
      <c r="J138" s="27">
        <v>100</v>
      </c>
      <c r="K138" s="27">
        <v>146</v>
      </c>
      <c r="L138" s="27"/>
      <c r="M138" s="32">
        <f t="shared" si="27"/>
        <v>328</v>
      </c>
      <c r="N138" s="32" t="s">
        <v>1330</v>
      </c>
      <c r="O138" s="32"/>
      <c r="P138" s="42">
        <f t="shared" si="28"/>
        <v>327.98680000000002</v>
      </c>
      <c r="Q138" s="32">
        <f t="shared" si="29"/>
        <v>4</v>
      </c>
      <c r="R138" s="32">
        <f t="shared" ca="1" si="30"/>
        <v>0</v>
      </c>
      <c r="S138" s="33" t="s">
        <v>140</v>
      </c>
      <c r="T138" s="34">
        <f t="shared" si="31"/>
        <v>0</v>
      </c>
      <c r="U138" s="34">
        <f t="shared" ca="1" si="32"/>
        <v>146</v>
      </c>
      <c r="V138" s="34">
        <f>-SUMPRODUCT((S$6:S137=S138)*(X$6:X137=X138))</f>
        <v>0</v>
      </c>
      <c r="W138" s="34">
        <f>-SUMPRODUCT((S$6:S137=S138)*(X$6:X137=X138)*(B$6:B137&lt;&gt;"NS"))</f>
        <v>0</v>
      </c>
      <c r="X138" s="35">
        <f t="shared" si="33"/>
        <v>328.15681999999998</v>
      </c>
      <c r="Y138" s="27">
        <v>146</v>
      </c>
      <c r="Z138" s="27">
        <v>100</v>
      </c>
      <c r="AA138" s="27">
        <v>82</v>
      </c>
      <c r="AB138" s="29">
        <v>43</v>
      </c>
      <c r="AC138" s="27"/>
      <c r="AD138" s="27"/>
      <c r="AF138" s="36">
        <v>0</v>
      </c>
      <c r="AG138" s="36">
        <v>0</v>
      </c>
      <c r="AH138" s="36">
        <v>0</v>
      </c>
      <c r="AI138" s="36">
        <v>0</v>
      </c>
      <c r="AJ138" s="37">
        <v>3</v>
      </c>
      <c r="AK138" s="67">
        <v>225.03058200000001</v>
      </c>
      <c r="AL138" s="39">
        <v>100</v>
      </c>
      <c r="AM138" s="32">
        <v>282</v>
      </c>
      <c r="AN138" s="39"/>
      <c r="AO138" s="39"/>
      <c r="AP138" s="39"/>
      <c r="AQ138" s="30"/>
      <c r="AR138" s="26"/>
      <c r="AS138" s="1"/>
    </row>
    <row r="139" spans="1:45">
      <c r="A139" s="1">
        <v>20</v>
      </c>
      <c r="B139" s="1">
        <v>20</v>
      </c>
      <c r="C139" s="40">
        <f t="shared" si="26"/>
        <v>20</v>
      </c>
      <c r="D139" s="40">
        <f t="shared" si="26"/>
        <v>20</v>
      </c>
      <c r="E139" s="1" t="s">
        <v>324</v>
      </c>
      <c r="F139" s="29" t="s">
        <v>88</v>
      </c>
      <c r="G139" s="29"/>
      <c r="H139" s="27">
        <v>77</v>
      </c>
      <c r="I139" s="27">
        <v>91</v>
      </c>
      <c r="J139" s="27">
        <v>101</v>
      </c>
      <c r="K139" s="27">
        <v>136</v>
      </c>
      <c r="L139" s="27"/>
      <c r="M139" s="32">
        <f t="shared" si="27"/>
        <v>328</v>
      </c>
      <c r="N139" s="32" t="s">
        <v>1330</v>
      </c>
      <c r="O139" s="32"/>
      <c r="P139" s="42">
        <f t="shared" si="28"/>
        <v>327.98669999999998</v>
      </c>
      <c r="Q139" s="32">
        <f t="shared" si="29"/>
        <v>4</v>
      </c>
      <c r="R139" s="32">
        <f t="shared" ca="1" si="30"/>
        <v>0</v>
      </c>
      <c r="S139" s="33" t="s">
        <v>140</v>
      </c>
      <c r="T139" s="34">
        <f t="shared" si="31"/>
        <v>0</v>
      </c>
      <c r="U139" s="34">
        <f t="shared" ca="1" si="32"/>
        <v>136</v>
      </c>
      <c r="V139" s="34">
        <f>-SUMPRODUCT((S$6:S138=S139)*(X$6:X138=X139))</f>
        <v>0</v>
      </c>
      <c r="W139" s="34">
        <f>-SUMPRODUCT((S$6:S138=S139)*(X$6:X138=X139)*(B$6:B138&lt;&gt;"NS"))</f>
        <v>0</v>
      </c>
      <c r="X139" s="35">
        <f t="shared" si="33"/>
        <v>328.14701000000002</v>
      </c>
      <c r="Y139" s="27">
        <v>136</v>
      </c>
      <c r="Z139" s="27">
        <v>101</v>
      </c>
      <c r="AA139" s="27">
        <v>91</v>
      </c>
      <c r="AB139" s="27">
        <v>77</v>
      </c>
      <c r="AC139" s="29"/>
      <c r="AD139" s="27"/>
      <c r="AF139" s="36">
        <v>0</v>
      </c>
      <c r="AG139" s="36">
        <v>0</v>
      </c>
      <c r="AH139" s="36">
        <v>0</v>
      </c>
      <c r="AI139" s="36">
        <v>0</v>
      </c>
      <c r="AJ139" s="37">
        <v>3</v>
      </c>
      <c r="AK139" s="67">
        <v>268.99580100000003</v>
      </c>
      <c r="AL139" s="39">
        <v>101</v>
      </c>
      <c r="AM139" s="32">
        <v>293</v>
      </c>
      <c r="AN139" s="39"/>
      <c r="AO139" s="39"/>
      <c r="AP139" s="39"/>
      <c r="AQ139" s="30"/>
      <c r="AR139" s="26"/>
      <c r="AS139" s="1"/>
    </row>
    <row r="140" spans="1:45">
      <c r="A140" s="1">
        <v>21</v>
      </c>
      <c r="B140" s="1">
        <v>21</v>
      </c>
      <c r="C140" s="40">
        <f t="shared" si="26"/>
        <v>21</v>
      </c>
      <c r="D140" s="40">
        <f t="shared" si="26"/>
        <v>21</v>
      </c>
      <c r="E140" s="1" t="s">
        <v>795</v>
      </c>
      <c r="F140" s="29" t="s">
        <v>412</v>
      </c>
      <c r="G140" s="29">
        <v>123</v>
      </c>
      <c r="H140" s="27">
        <v>146</v>
      </c>
      <c r="I140" s="27"/>
      <c r="J140" s="27"/>
      <c r="K140" s="27"/>
      <c r="L140" s="27"/>
      <c r="M140" s="32">
        <f t="shared" si="27"/>
        <v>269</v>
      </c>
      <c r="N140" s="32" t="s">
        <v>1330</v>
      </c>
      <c r="O140" s="32"/>
      <c r="P140" s="42">
        <f t="shared" si="28"/>
        <v>268.98660000000001</v>
      </c>
      <c r="Q140" s="32">
        <f t="shared" si="29"/>
        <v>2</v>
      </c>
      <c r="R140" s="32">
        <f t="shared" ca="1" si="30"/>
        <v>0</v>
      </c>
      <c r="S140" s="33" t="s">
        <v>140</v>
      </c>
      <c r="T140" s="34">
        <f t="shared" si="31"/>
        <v>0</v>
      </c>
      <c r="U140" s="34">
        <f t="shared" ca="1" si="32"/>
        <v>0</v>
      </c>
      <c r="V140" s="34">
        <f>-SUMPRODUCT((S$6:S139=S140)*(X$6:X139=X140))</f>
        <v>0</v>
      </c>
      <c r="W140" s="34">
        <f>-SUMPRODUCT((S$6:S139=S140)*(X$6:X139=X140)*(B$6:B139&lt;&gt;"NS"))</f>
        <v>0</v>
      </c>
      <c r="X140" s="35">
        <f t="shared" si="33"/>
        <v>269.1583</v>
      </c>
      <c r="Y140" s="27">
        <v>146</v>
      </c>
      <c r="Z140" s="29">
        <v>123</v>
      </c>
      <c r="AA140" s="27"/>
      <c r="AB140" s="27"/>
      <c r="AC140" s="27"/>
      <c r="AD140" s="27"/>
      <c r="AF140" s="36">
        <v>0</v>
      </c>
      <c r="AG140" s="36">
        <v>0</v>
      </c>
      <c r="AH140" s="36">
        <v>0</v>
      </c>
      <c r="AI140" s="36">
        <v>0</v>
      </c>
      <c r="AJ140" s="37">
        <v>2</v>
      </c>
      <c r="AK140" s="67">
        <v>269.12469999999996</v>
      </c>
      <c r="AL140" s="39">
        <v>146</v>
      </c>
      <c r="AM140" s="32">
        <v>415</v>
      </c>
      <c r="AN140" s="39"/>
      <c r="AO140" s="39"/>
      <c r="AP140" s="39"/>
      <c r="AQ140" s="30"/>
      <c r="AR140" s="26"/>
      <c r="AS140" s="1"/>
    </row>
    <row r="141" spans="1:45">
      <c r="A141" s="1">
        <v>22</v>
      </c>
      <c r="B141" s="1">
        <v>22</v>
      </c>
      <c r="C141" s="40">
        <f t="shared" si="26"/>
        <v>22</v>
      </c>
      <c r="D141" s="40">
        <f t="shared" si="26"/>
        <v>22</v>
      </c>
      <c r="E141" s="1" t="s">
        <v>338</v>
      </c>
      <c r="F141" s="29" t="s">
        <v>88</v>
      </c>
      <c r="G141" s="29">
        <v>52</v>
      </c>
      <c r="H141" s="27">
        <v>79</v>
      </c>
      <c r="I141" s="27">
        <v>63</v>
      </c>
      <c r="J141" s="27"/>
      <c r="K141" s="27">
        <v>125</v>
      </c>
      <c r="L141" s="27"/>
      <c r="M141" s="32">
        <f t="shared" si="27"/>
        <v>267</v>
      </c>
      <c r="N141" s="32" t="s">
        <v>1330</v>
      </c>
      <c r="O141" s="32"/>
      <c r="P141" s="42">
        <f t="shared" si="28"/>
        <v>266.98649999999998</v>
      </c>
      <c r="Q141" s="32">
        <f t="shared" si="29"/>
        <v>4</v>
      </c>
      <c r="R141" s="32">
        <f t="shared" ca="1" si="30"/>
        <v>0</v>
      </c>
      <c r="S141" s="33" t="s">
        <v>140</v>
      </c>
      <c r="T141" s="34">
        <f t="shared" si="31"/>
        <v>0</v>
      </c>
      <c r="U141" s="34">
        <f t="shared" ca="1" si="32"/>
        <v>125</v>
      </c>
      <c r="V141" s="34">
        <f>-SUMPRODUCT((S$6:S140=S141)*(X$6:X140=X141))</f>
        <v>0</v>
      </c>
      <c r="W141" s="34">
        <f>-SUMPRODUCT((S$6:S140=S141)*(X$6:X140=X141)*(B$6:B140&lt;&gt;"NS"))</f>
        <v>0</v>
      </c>
      <c r="X141" s="35">
        <f t="shared" si="33"/>
        <v>267.13353000000001</v>
      </c>
      <c r="Y141" s="27">
        <v>125</v>
      </c>
      <c r="Z141" s="27">
        <v>79</v>
      </c>
      <c r="AA141" s="27">
        <v>63</v>
      </c>
      <c r="AB141" s="29">
        <v>52</v>
      </c>
      <c r="AC141" s="27"/>
      <c r="AD141" s="27"/>
      <c r="AF141" s="36">
        <v>0</v>
      </c>
      <c r="AG141" s="36">
        <v>0</v>
      </c>
      <c r="AH141" s="36">
        <v>0</v>
      </c>
      <c r="AI141" s="36">
        <v>0</v>
      </c>
      <c r="AJ141" s="37">
        <v>3</v>
      </c>
      <c r="AK141" s="67">
        <v>194.04683</v>
      </c>
      <c r="AL141" s="39">
        <v>79</v>
      </c>
      <c r="AM141" s="32">
        <v>221</v>
      </c>
      <c r="AN141" s="39"/>
      <c r="AO141" s="39"/>
      <c r="AP141" s="39"/>
      <c r="AQ141" s="30"/>
      <c r="AR141" s="26"/>
      <c r="AS141" s="1"/>
    </row>
    <row r="142" spans="1:45">
      <c r="A142" s="1">
        <v>23</v>
      </c>
      <c r="B142" s="1">
        <v>23</v>
      </c>
      <c r="C142" s="40">
        <f t="shared" si="26"/>
        <v>23</v>
      </c>
      <c r="D142" s="40">
        <f t="shared" si="26"/>
        <v>23</v>
      </c>
      <c r="E142" s="1" t="s">
        <v>796</v>
      </c>
      <c r="F142" s="29" t="s">
        <v>61</v>
      </c>
      <c r="G142" s="29">
        <v>112</v>
      </c>
      <c r="H142" s="27"/>
      <c r="I142" s="27">
        <v>123</v>
      </c>
      <c r="J142" s="27"/>
      <c r="K142" s="27"/>
      <c r="L142" s="27"/>
      <c r="M142" s="32">
        <f t="shared" si="27"/>
        <v>235</v>
      </c>
      <c r="N142" s="32" t="s">
        <v>1330</v>
      </c>
      <c r="O142" s="32"/>
      <c r="P142" s="42">
        <f t="shared" si="28"/>
        <v>234.9864</v>
      </c>
      <c r="Q142" s="32">
        <f t="shared" si="29"/>
        <v>2</v>
      </c>
      <c r="R142" s="32">
        <f t="shared" ca="1" si="30"/>
        <v>0</v>
      </c>
      <c r="S142" s="33" t="s">
        <v>140</v>
      </c>
      <c r="T142" s="34">
        <f t="shared" si="31"/>
        <v>0</v>
      </c>
      <c r="U142" s="34">
        <f t="shared" ca="1" si="32"/>
        <v>0</v>
      </c>
      <c r="V142" s="34">
        <f>-SUMPRODUCT((S$6:S141=S142)*(X$6:X141=X142))</f>
        <v>0</v>
      </c>
      <c r="W142" s="34">
        <f>-SUMPRODUCT((S$6:S141=S142)*(X$6:X141=X142)*(B$6:B141&lt;&gt;"NS"))</f>
        <v>0</v>
      </c>
      <c r="X142" s="35">
        <f t="shared" si="33"/>
        <v>235.13419999999999</v>
      </c>
      <c r="Y142" s="27">
        <v>123</v>
      </c>
      <c r="Z142" s="29">
        <v>112</v>
      </c>
      <c r="AA142" s="27"/>
      <c r="AB142" s="27"/>
      <c r="AC142" s="27"/>
      <c r="AD142" s="27"/>
      <c r="AF142" s="36">
        <v>0</v>
      </c>
      <c r="AG142" s="36">
        <v>0</v>
      </c>
      <c r="AH142" s="36">
        <v>0</v>
      </c>
      <c r="AI142" s="36">
        <v>0</v>
      </c>
      <c r="AJ142" s="37">
        <v>2</v>
      </c>
      <c r="AK142" s="67">
        <v>235.09993</v>
      </c>
      <c r="AL142" s="39">
        <v>123</v>
      </c>
      <c r="AM142" s="32">
        <v>358</v>
      </c>
      <c r="AN142" s="39"/>
      <c r="AO142" s="39"/>
      <c r="AP142" s="39"/>
      <c r="AQ142" s="30"/>
      <c r="AR142" s="26"/>
      <c r="AS142" s="1"/>
    </row>
    <row r="143" spans="1:45">
      <c r="A143" s="1">
        <v>24</v>
      </c>
      <c r="B143" s="1">
        <v>24</v>
      </c>
      <c r="C143" s="40">
        <f t="shared" si="26"/>
        <v>24</v>
      </c>
      <c r="D143" s="40">
        <f t="shared" si="26"/>
        <v>24</v>
      </c>
      <c r="E143" s="1" t="s">
        <v>797</v>
      </c>
      <c r="F143" s="29" t="s">
        <v>47</v>
      </c>
      <c r="G143" s="29">
        <v>33</v>
      </c>
      <c r="H143" s="27">
        <v>50</v>
      </c>
      <c r="I143" s="27">
        <v>80</v>
      </c>
      <c r="J143" s="27">
        <v>90</v>
      </c>
      <c r="K143" s="27"/>
      <c r="L143" s="27"/>
      <c r="M143" s="32">
        <f t="shared" si="27"/>
        <v>220</v>
      </c>
      <c r="N143" s="32" t="s">
        <v>1330</v>
      </c>
      <c r="O143" s="32"/>
      <c r="P143" s="42">
        <f t="shared" si="28"/>
        <v>219.9863</v>
      </c>
      <c r="Q143" s="32">
        <f t="shared" si="29"/>
        <v>4</v>
      </c>
      <c r="R143" s="32">
        <f t="shared" ca="1" si="30"/>
        <v>0</v>
      </c>
      <c r="S143" s="33" t="s">
        <v>140</v>
      </c>
      <c r="T143" s="34">
        <f t="shared" si="31"/>
        <v>0</v>
      </c>
      <c r="U143" s="34">
        <f t="shared" ca="1" si="32"/>
        <v>0</v>
      </c>
      <c r="V143" s="34">
        <f>-SUMPRODUCT((S$6:S142=S143)*(X$6:X142=X143))</f>
        <v>0</v>
      </c>
      <c r="W143" s="34">
        <f>-SUMPRODUCT((S$6:S142=S143)*(X$6:X142=X143)*(B$6:B142&lt;&gt;"NS"))</f>
        <v>0</v>
      </c>
      <c r="X143" s="35">
        <f t="shared" si="33"/>
        <v>220.0985</v>
      </c>
      <c r="Y143" s="27">
        <v>90</v>
      </c>
      <c r="Z143" s="27">
        <v>80</v>
      </c>
      <c r="AA143" s="27">
        <v>50</v>
      </c>
      <c r="AB143" s="29">
        <v>33</v>
      </c>
      <c r="AC143" s="27"/>
      <c r="AD143" s="27"/>
      <c r="AF143" s="36">
        <v>0</v>
      </c>
      <c r="AG143" s="36">
        <v>0</v>
      </c>
      <c r="AH143" s="36">
        <v>0</v>
      </c>
      <c r="AI143" s="36">
        <v>0</v>
      </c>
      <c r="AJ143" s="37">
        <v>4</v>
      </c>
      <c r="AK143" s="67">
        <v>220.02537999999998</v>
      </c>
      <c r="AL143" s="39">
        <v>90</v>
      </c>
      <c r="AM143" s="32">
        <v>260</v>
      </c>
      <c r="AN143" s="39"/>
      <c r="AO143" s="39"/>
      <c r="AP143" s="39"/>
      <c r="AQ143" s="30"/>
      <c r="AR143" s="26"/>
      <c r="AS143" s="1"/>
    </row>
    <row r="144" spans="1:45">
      <c r="A144" s="1">
        <v>25</v>
      </c>
      <c r="B144" s="1">
        <v>25</v>
      </c>
      <c r="C144" s="40">
        <f t="shared" si="26"/>
        <v>25</v>
      </c>
      <c r="D144" s="40">
        <f t="shared" si="26"/>
        <v>25</v>
      </c>
      <c r="E144" s="1" t="s">
        <v>223</v>
      </c>
      <c r="F144" s="29" t="s">
        <v>118</v>
      </c>
      <c r="G144" s="29"/>
      <c r="H144" s="27"/>
      <c r="I144" s="27"/>
      <c r="J144" s="27"/>
      <c r="K144" s="27">
        <v>176</v>
      </c>
      <c r="L144" s="27"/>
      <c r="M144" s="32">
        <f t="shared" si="27"/>
        <v>176</v>
      </c>
      <c r="N144" s="32" t="s">
        <v>1330</v>
      </c>
      <c r="O144" s="32"/>
      <c r="P144" s="42">
        <f t="shared" si="28"/>
        <v>175.9862</v>
      </c>
      <c r="Q144" s="32">
        <f t="shared" si="29"/>
        <v>1</v>
      </c>
      <c r="R144" s="32" t="str">
        <f t="shared" ca="1" si="30"/>
        <v>Y</v>
      </c>
      <c r="S144" s="33" t="s">
        <v>140</v>
      </c>
      <c r="T144" s="34">
        <f t="shared" si="31"/>
        <v>0</v>
      </c>
      <c r="U144" s="34">
        <f t="shared" ca="1" si="32"/>
        <v>176</v>
      </c>
      <c r="V144" s="34">
        <f>-SUMPRODUCT((S$6:S143=S144)*(X$6:X143=X144))</f>
        <v>0</v>
      </c>
      <c r="W144" s="34">
        <f>-SUMPRODUCT((S$6:S143=S144)*(X$6:X143=X144)*(B$6:B143&lt;&gt;"NS"))</f>
        <v>0</v>
      </c>
      <c r="X144" s="35">
        <f t="shared" si="33"/>
        <v>176.17599999999999</v>
      </c>
      <c r="Y144" s="27">
        <v>176</v>
      </c>
      <c r="Z144" s="29"/>
      <c r="AA144" s="27"/>
      <c r="AB144" s="27"/>
      <c r="AC144" s="27"/>
      <c r="AD144" s="27"/>
      <c r="AF144" s="36"/>
      <c r="AG144" s="36"/>
      <c r="AH144" s="36"/>
      <c r="AI144" s="36"/>
      <c r="AJ144" s="37"/>
      <c r="AK144" s="67"/>
      <c r="AL144" s="39"/>
      <c r="AM144" s="32"/>
      <c r="AN144" s="39"/>
      <c r="AO144" s="39"/>
      <c r="AP144" s="39"/>
      <c r="AQ144" s="30"/>
      <c r="AR144" s="26"/>
      <c r="AS144" s="1"/>
    </row>
    <row r="145" spans="1:45">
      <c r="A145" s="1">
        <v>26</v>
      </c>
      <c r="B145" s="1">
        <v>26</v>
      </c>
      <c r="C145" s="40">
        <f t="shared" si="26"/>
        <v>26</v>
      </c>
      <c r="D145" s="40">
        <f t="shared" si="26"/>
        <v>26</v>
      </c>
      <c r="E145" s="1" t="s">
        <v>345</v>
      </c>
      <c r="F145" s="29" t="s">
        <v>118</v>
      </c>
      <c r="G145" s="29"/>
      <c r="H145" s="27">
        <v>54</v>
      </c>
      <c r="I145" s="27"/>
      <c r="J145" s="27"/>
      <c r="K145" s="27">
        <v>120</v>
      </c>
      <c r="L145" s="27"/>
      <c r="M145" s="32">
        <f t="shared" si="27"/>
        <v>174</v>
      </c>
      <c r="N145" s="32" t="s">
        <v>1330</v>
      </c>
      <c r="O145" s="32"/>
      <c r="P145" s="42">
        <f t="shared" si="28"/>
        <v>173.98609999999999</v>
      </c>
      <c r="Q145" s="32">
        <f t="shared" si="29"/>
        <v>2</v>
      </c>
      <c r="R145" s="32">
        <f t="shared" ca="1" si="30"/>
        <v>0</v>
      </c>
      <c r="S145" s="33" t="s">
        <v>140</v>
      </c>
      <c r="T145" s="34">
        <f t="shared" si="31"/>
        <v>0</v>
      </c>
      <c r="U145" s="34">
        <f t="shared" ca="1" si="32"/>
        <v>120</v>
      </c>
      <c r="V145" s="34">
        <f>-SUMPRODUCT((S$6:S144=S145)*(X$6:X144=X145))</f>
        <v>0</v>
      </c>
      <c r="W145" s="34">
        <f>-SUMPRODUCT((S$6:S144=S145)*(X$6:X144=X145)*(B$6:B144&lt;&gt;"NS"))</f>
        <v>0</v>
      </c>
      <c r="X145" s="35">
        <f t="shared" si="33"/>
        <v>174.12540000000001</v>
      </c>
      <c r="Y145" s="27">
        <v>120</v>
      </c>
      <c r="Z145" s="27">
        <v>54</v>
      </c>
      <c r="AA145" s="29"/>
      <c r="AB145" s="27"/>
      <c r="AC145" s="27"/>
      <c r="AD145" s="27"/>
      <c r="AF145" s="36">
        <v>0</v>
      </c>
      <c r="AG145" s="36">
        <v>0</v>
      </c>
      <c r="AH145" s="36">
        <v>0</v>
      </c>
      <c r="AI145" s="36">
        <v>0</v>
      </c>
      <c r="AJ145" s="37">
        <v>1</v>
      </c>
      <c r="AK145" s="67">
        <v>53.989400000000003</v>
      </c>
      <c r="AL145" s="39">
        <v>54</v>
      </c>
      <c r="AM145" s="32">
        <v>108</v>
      </c>
      <c r="AN145" s="39"/>
      <c r="AO145" s="39"/>
      <c r="AP145" s="39"/>
      <c r="AQ145" s="30"/>
      <c r="AR145" s="26"/>
      <c r="AS145" s="1"/>
    </row>
    <row r="146" spans="1:45">
      <c r="A146" s="1">
        <v>27</v>
      </c>
      <c r="B146" s="1">
        <v>27</v>
      </c>
      <c r="C146" s="40">
        <f t="shared" si="26"/>
        <v>27</v>
      </c>
      <c r="D146" s="40">
        <f t="shared" si="26"/>
        <v>27</v>
      </c>
      <c r="E146" s="1" t="s">
        <v>798</v>
      </c>
      <c r="F146" s="29" t="s">
        <v>84</v>
      </c>
      <c r="G146" s="29">
        <v>72</v>
      </c>
      <c r="H146" s="27"/>
      <c r="I146" s="27"/>
      <c r="J146" s="27">
        <v>94</v>
      </c>
      <c r="K146" s="27"/>
      <c r="L146" s="27"/>
      <c r="M146" s="32">
        <f t="shared" si="27"/>
        <v>166</v>
      </c>
      <c r="N146" s="32" t="s">
        <v>1330</v>
      </c>
      <c r="O146" s="32"/>
      <c r="P146" s="42">
        <f t="shared" si="28"/>
        <v>165.98599999999999</v>
      </c>
      <c r="Q146" s="32">
        <f t="shared" si="29"/>
        <v>2</v>
      </c>
      <c r="R146" s="32">
        <f t="shared" ca="1" si="30"/>
        <v>0</v>
      </c>
      <c r="S146" s="33" t="s">
        <v>140</v>
      </c>
      <c r="T146" s="34">
        <f t="shared" si="31"/>
        <v>0</v>
      </c>
      <c r="U146" s="34">
        <f t="shared" ca="1" si="32"/>
        <v>0</v>
      </c>
      <c r="V146" s="34">
        <f>-SUMPRODUCT((S$6:S145=S146)*(X$6:X145=X146))</f>
        <v>0</v>
      </c>
      <c r="W146" s="34">
        <f>-SUMPRODUCT((S$6:S145=S146)*(X$6:X145=X146)*(B$6:B145&lt;&gt;"NS"))</f>
        <v>0</v>
      </c>
      <c r="X146" s="35">
        <f t="shared" si="33"/>
        <v>166.10120000000001</v>
      </c>
      <c r="Y146" s="27">
        <v>94</v>
      </c>
      <c r="Z146" s="29">
        <v>72</v>
      </c>
      <c r="AA146" s="27"/>
      <c r="AB146" s="27"/>
      <c r="AC146" s="27"/>
      <c r="AD146" s="27"/>
      <c r="AF146" s="36">
        <v>0</v>
      </c>
      <c r="AG146" s="36">
        <v>0</v>
      </c>
      <c r="AH146" s="36">
        <v>0</v>
      </c>
      <c r="AI146" s="36">
        <v>0</v>
      </c>
      <c r="AJ146" s="37">
        <v>2</v>
      </c>
      <c r="AK146" s="67">
        <v>166.05914000000001</v>
      </c>
      <c r="AL146" s="39">
        <v>94</v>
      </c>
      <c r="AM146" s="32">
        <v>260</v>
      </c>
      <c r="AN146" s="39"/>
      <c r="AO146" s="39"/>
      <c r="AP146" s="39"/>
      <c r="AQ146" s="30"/>
      <c r="AR146" s="26"/>
      <c r="AS146" s="1"/>
    </row>
    <row r="147" spans="1:45">
      <c r="A147" s="1">
        <v>28</v>
      </c>
      <c r="B147" s="1">
        <v>28</v>
      </c>
      <c r="C147" s="40">
        <f t="shared" si="26"/>
        <v>28</v>
      </c>
      <c r="D147" s="40">
        <f t="shared" si="26"/>
        <v>28</v>
      </c>
      <c r="E147" s="1" t="s">
        <v>799</v>
      </c>
      <c r="F147" s="29" t="s">
        <v>66</v>
      </c>
      <c r="G147" s="29"/>
      <c r="H147" s="27">
        <v>165</v>
      </c>
      <c r="I147" s="27"/>
      <c r="J147" s="27"/>
      <c r="K147" s="27"/>
      <c r="L147" s="27"/>
      <c r="M147" s="32">
        <f t="shared" si="27"/>
        <v>165</v>
      </c>
      <c r="N147" s="32" t="s">
        <v>1330</v>
      </c>
      <c r="O147" s="32"/>
      <c r="P147" s="42">
        <f t="shared" si="28"/>
        <v>164.98589999999999</v>
      </c>
      <c r="Q147" s="32">
        <f t="shared" si="29"/>
        <v>1</v>
      </c>
      <c r="R147" s="32">
        <f t="shared" ca="1" si="30"/>
        <v>0</v>
      </c>
      <c r="S147" s="33" t="s">
        <v>140</v>
      </c>
      <c r="T147" s="34">
        <f t="shared" si="31"/>
        <v>0</v>
      </c>
      <c r="U147" s="34">
        <f t="shared" ca="1" si="32"/>
        <v>0</v>
      </c>
      <c r="V147" s="34">
        <f>-SUMPRODUCT((S$6:S146=S147)*(X$6:X146=X147))</f>
        <v>0</v>
      </c>
      <c r="W147" s="34">
        <f>-SUMPRODUCT((S$6:S146=S147)*(X$6:X146=X147)*(B$6:B146&lt;&gt;"NS"))</f>
        <v>0</v>
      </c>
      <c r="X147" s="35">
        <f t="shared" si="33"/>
        <v>165.16499999999999</v>
      </c>
      <c r="Y147" s="27">
        <v>165</v>
      </c>
      <c r="Z147" s="29"/>
      <c r="AA147" s="27"/>
      <c r="AB147" s="27"/>
      <c r="AC147" s="27"/>
      <c r="AD147" s="27"/>
      <c r="AF147" s="36">
        <v>0</v>
      </c>
      <c r="AG147" s="36">
        <v>0</v>
      </c>
      <c r="AH147" s="36">
        <v>0</v>
      </c>
      <c r="AI147" s="36">
        <v>0</v>
      </c>
      <c r="AJ147" s="37">
        <v>1</v>
      </c>
      <c r="AK147" s="67">
        <v>165.0026</v>
      </c>
      <c r="AL147" s="39">
        <v>165</v>
      </c>
      <c r="AM147" s="32">
        <v>330</v>
      </c>
      <c r="AN147" s="39"/>
      <c r="AO147" s="39"/>
      <c r="AP147" s="39"/>
      <c r="AQ147" s="30"/>
      <c r="AR147" s="26"/>
      <c r="AS147" s="1"/>
    </row>
    <row r="148" spans="1:45">
      <c r="A148" s="1">
        <v>29</v>
      </c>
      <c r="B148" s="1">
        <v>29</v>
      </c>
      <c r="C148" s="40">
        <f t="shared" si="26"/>
        <v>29</v>
      </c>
      <c r="D148" s="40">
        <f t="shared" si="26"/>
        <v>29</v>
      </c>
      <c r="E148" s="1" t="s">
        <v>800</v>
      </c>
      <c r="F148" s="29" t="s">
        <v>25</v>
      </c>
      <c r="G148" s="29"/>
      <c r="H148" s="27"/>
      <c r="I148" s="27">
        <v>164</v>
      </c>
      <c r="J148" s="27"/>
      <c r="K148" s="27"/>
      <c r="L148" s="27"/>
      <c r="M148" s="32">
        <f t="shared" si="27"/>
        <v>164</v>
      </c>
      <c r="N148" s="32" t="s">
        <v>1330</v>
      </c>
      <c r="O148" s="32"/>
      <c r="P148" s="42">
        <f t="shared" si="28"/>
        <v>163.98580000000001</v>
      </c>
      <c r="Q148" s="32">
        <f t="shared" si="29"/>
        <v>1</v>
      </c>
      <c r="R148" s="32">
        <f t="shared" ca="1" si="30"/>
        <v>0</v>
      </c>
      <c r="S148" s="33" t="s">
        <v>140</v>
      </c>
      <c r="T148" s="34">
        <f t="shared" si="31"/>
        <v>0</v>
      </c>
      <c r="U148" s="34">
        <f t="shared" ca="1" si="32"/>
        <v>0</v>
      </c>
      <c r="V148" s="34">
        <f>-SUMPRODUCT((S$6:S147=S148)*(X$6:X147=X148))</f>
        <v>0</v>
      </c>
      <c r="W148" s="34">
        <f>-SUMPRODUCT((S$6:S147=S148)*(X$6:X147=X148)*(B$6:B147&lt;&gt;"NS"))</f>
        <v>0</v>
      </c>
      <c r="X148" s="35">
        <f t="shared" si="33"/>
        <v>164.16399999999999</v>
      </c>
      <c r="Y148" s="27">
        <v>164</v>
      </c>
      <c r="Z148" s="29"/>
      <c r="AA148" s="27"/>
      <c r="AB148" s="27"/>
      <c r="AC148" s="27"/>
      <c r="AD148" s="27"/>
      <c r="AF148" s="36">
        <v>0</v>
      </c>
      <c r="AG148" s="36">
        <v>0</v>
      </c>
      <c r="AH148" s="36">
        <v>0</v>
      </c>
      <c r="AI148" s="36">
        <v>0</v>
      </c>
      <c r="AJ148" s="37">
        <v>1</v>
      </c>
      <c r="AK148" s="67">
        <v>163.98754</v>
      </c>
      <c r="AL148" s="39">
        <v>164</v>
      </c>
      <c r="AM148" s="32">
        <v>328</v>
      </c>
      <c r="AN148" s="39"/>
      <c r="AO148" s="39"/>
      <c r="AP148" s="39"/>
      <c r="AQ148" s="30"/>
      <c r="AR148" s="26"/>
      <c r="AS148" s="1"/>
    </row>
    <row r="149" spans="1:45">
      <c r="A149" s="1">
        <v>30</v>
      </c>
      <c r="B149" s="1">
        <v>30</v>
      </c>
      <c r="C149" s="40">
        <f t="shared" si="26"/>
        <v>30</v>
      </c>
      <c r="D149" s="40">
        <f t="shared" si="26"/>
        <v>30</v>
      </c>
      <c r="E149" s="1" t="s">
        <v>801</v>
      </c>
      <c r="F149" s="29" t="s">
        <v>66</v>
      </c>
      <c r="G149" s="29">
        <v>76</v>
      </c>
      <c r="H149" s="27">
        <v>88</v>
      </c>
      <c r="I149" s="27"/>
      <c r="J149" s="27"/>
      <c r="K149" s="27"/>
      <c r="L149" s="27"/>
      <c r="M149" s="32">
        <f t="shared" si="27"/>
        <v>164</v>
      </c>
      <c r="N149" s="32" t="s">
        <v>1330</v>
      </c>
      <c r="O149" s="32"/>
      <c r="P149" s="42">
        <f t="shared" si="28"/>
        <v>163.98570000000001</v>
      </c>
      <c r="Q149" s="32">
        <f t="shared" si="29"/>
        <v>2</v>
      </c>
      <c r="R149" s="32">
        <f t="shared" ca="1" si="30"/>
        <v>0</v>
      </c>
      <c r="S149" s="33" t="s">
        <v>140</v>
      </c>
      <c r="T149" s="34">
        <f t="shared" si="31"/>
        <v>0</v>
      </c>
      <c r="U149" s="34">
        <f t="shared" ca="1" si="32"/>
        <v>0</v>
      </c>
      <c r="V149" s="34">
        <f>-SUMPRODUCT((S$6:S148=S149)*(X$6:X148=X149))</f>
        <v>0</v>
      </c>
      <c r="W149" s="34">
        <f>-SUMPRODUCT((S$6:S148=S149)*(X$6:X148=X149)*(B$6:B148&lt;&gt;"NS"))</f>
        <v>0</v>
      </c>
      <c r="X149" s="35">
        <f t="shared" si="33"/>
        <v>164.09559999999999</v>
      </c>
      <c r="Y149" s="27">
        <v>88</v>
      </c>
      <c r="Z149" s="29">
        <v>76</v>
      </c>
      <c r="AA149" s="27"/>
      <c r="AB149" s="27"/>
      <c r="AC149" s="27"/>
      <c r="AD149" s="27"/>
      <c r="AF149" s="36">
        <v>0</v>
      </c>
      <c r="AG149" s="36">
        <v>0</v>
      </c>
      <c r="AH149" s="36">
        <v>0</v>
      </c>
      <c r="AI149" s="36">
        <v>0</v>
      </c>
      <c r="AJ149" s="37">
        <v>2</v>
      </c>
      <c r="AK149" s="67">
        <v>164.07079999999999</v>
      </c>
      <c r="AL149" s="39">
        <v>88</v>
      </c>
      <c r="AM149" s="32">
        <v>252</v>
      </c>
      <c r="AN149" s="39"/>
      <c r="AO149" s="39"/>
      <c r="AP149" s="39"/>
      <c r="AQ149" s="30"/>
      <c r="AR149" s="26"/>
      <c r="AS149" s="1"/>
    </row>
    <row r="150" spans="1:45">
      <c r="A150" s="1">
        <v>31</v>
      </c>
      <c r="B150" s="1">
        <v>31</v>
      </c>
      <c r="C150" s="40">
        <f t="shared" si="26"/>
        <v>31</v>
      </c>
      <c r="D150" s="40">
        <f t="shared" si="26"/>
        <v>31</v>
      </c>
      <c r="E150" s="1" t="s">
        <v>274</v>
      </c>
      <c r="F150" s="29" t="s">
        <v>66</v>
      </c>
      <c r="G150" s="29"/>
      <c r="H150" s="27"/>
      <c r="I150" s="27"/>
      <c r="J150" s="27"/>
      <c r="K150" s="27">
        <v>157</v>
      </c>
      <c r="L150" s="27"/>
      <c r="M150" s="32">
        <f t="shared" si="27"/>
        <v>157</v>
      </c>
      <c r="N150" s="32" t="s">
        <v>1330</v>
      </c>
      <c r="O150" s="32"/>
      <c r="P150" s="42">
        <f t="shared" si="28"/>
        <v>156.98560000000001</v>
      </c>
      <c r="Q150" s="32">
        <f t="shared" si="29"/>
        <v>1</v>
      </c>
      <c r="R150" s="32" t="str">
        <f t="shared" ca="1" si="30"/>
        <v>Y</v>
      </c>
      <c r="S150" s="33" t="s">
        <v>140</v>
      </c>
      <c r="T150" s="34">
        <f t="shared" si="31"/>
        <v>0</v>
      </c>
      <c r="U150" s="34">
        <f t="shared" ca="1" si="32"/>
        <v>157</v>
      </c>
      <c r="V150" s="34">
        <f>-SUMPRODUCT((S$6:S149=S150)*(X$6:X149=X150))</f>
        <v>0</v>
      </c>
      <c r="W150" s="34">
        <f>-SUMPRODUCT((S$6:S149=S150)*(X$6:X149=X150)*(B$6:B149&lt;&gt;"NS"))</f>
        <v>0</v>
      </c>
      <c r="X150" s="35">
        <f t="shared" si="33"/>
        <v>157.15700000000001</v>
      </c>
      <c r="Y150" s="27">
        <v>157</v>
      </c>
      <c r="Z150" s="29"/>
      <c r="AA150" s="27"/>
      <c r="AB150" s="27"/>
      <c r="AC150" s="27"/>
      <c r="AD150" s="27"/>
      <c r="AF150" s="36"/>
      <c r="AG150" s="36"/>
      <c r="AH150" s="36"/>
      <c r="AI150" s="36"/>
      <c r="AJ150" s="37"/>
      <c r="AK150" s="67"/>
      <c r="AL150" s="39"/>
      <c r="AM150" s="32"/>
      <c r="AN150" s="39"/>
      <c r="AO150" s="39"/>
      <c r="AP150" s="39"/>
      <c r="AQ150" s="30"/>
      <c r="AR150" s="26"/>
      <c r="AS150" s="1"/>
    </row>
    <row r="151" spans="1:45">
      <c r="A151" s="1">
        <v>32</v>
      </c>
      <c r="B151" s="1">
        <v>32</v>
      </c>
      <c r="C151" s="40">
        <f t="shared" si="26"/>
        <v>32</v>
      </c>
      <c r="D151" s="40">
        <f t="shared" si="26"/>
        <v>32</v>
      </c>
      <c r="E151" s="1" t="s">
        <v>802</v>
      </c>
      <c r="F151" s="29" t="s">
        <v>38</v>
      </c>
      <c r="G151" s="29"/>
      <c r="H151" s="27">
        <v>149</v>
      </c>
      <c r="I151" s="27"/>
      <c r="J151" s="27"/>
      <c r="K151" s="27"/>
      <c r="L151" s="27"/>
      <c r="M151" s="32">
        <f t="shared" si="27"/>
        <v>149</v>
      </c>
      <c r="N151" s="32" t="s">
        <v>1330</v>
      </c>
      <c r="O151" s="32"/>
      <c r="P151" s="42">
        <f t="shared" si="28"/>
        <v>148.9855</v>
      </c>
      <c r="Q151" s="32">
        <f t="shared" si="29"/>
        <v>1</v>
      </c>
      <c r="R151" s="32">
        <f t="shared" ca="1" si="30"/>
        <v>0</v>
      </c>
      <c r="S151" s="33" t="s">
        <v>140</v>
      </c>
      <c r="T151" s="34">
        <f t="shared" si="31"/>
        <v>0</v>
      </c>
      <c r="U151" s="34">
        <f t="shared" ca="1" si="32"/>
        <v>0</v>
      </c>
      <c r="V151" s="34">
        <f>-SUMPRODUCT((S$6:S150=S151)*(X$6:X150=X151))</f>
        <v>0</v>
      </c>
      <c r="W151" s="34">
        <f>-SUMPRODUCT((S$6:S150=S151)*(X$6:X150=X151)*(B$6:B150&lt;&gt;"NS"))</f>
        <v>0</v>
      </c>
      <c r="X151" s="35">
        <f t="shared" si="33"/>
        <v>149.149</v>
      </c>
      <c r="Y151" s="27">
        <v>149</v>
      </c>
      <c r="Z151" s="29"/>
      <c r="AA151" s="27"/>
      <c r="AB151" s="27"/>
      <c r="AC151" s="27"/>
      <c r="AD151" s="27"/>
      <c r="AF151" s="36">
        <v>0</v>
      </c>
      <c r="AG151" s="36">
        <v>0</v>
      </c>
      <c r="AH151" s="36">
        <v>0</v>
      </c>
      <c r="AI151" s="36">
        <v>0</v>
      </c>
      <c r="AJ151" s="37">
        <v>1</v>
      </c>
      <c r="AK151" s="67">
        <v>149.00070000000002</v>
      </c>
      <c r="AL151" s="39">
        <v>149</v>
      </c>
      <c r="AM151" s="32">
        <v>298</v>
      </c>
      <c r="AN151" s="39"/>
      <c r="AO151" s="39"/>
      <c r="AP151" s="39"/>
      <c r="AQ151" s="30"/>
      <c r="AR151" s="26"/>
      <c r="AS151" s="1"/>
    </row>
    <row r="152" spans="1:45">
      <c r="A152" s="1">
        <v>33</v>
      </c>
      <c r="B152" s="1">
        <v>33</v>
      </c>
      <c r="C152" s="40">
        <f t="shared" si="26"/>
        <v>33</v>
      </c>
      <c r="D152" s="40">
        <f t="shared" si="26"/>
        <v>33</v>
      </c>
      <c r="E152" s="1" t="s">
        <v>803</v>
      </c>
      <c r="F152" s="29" t="s">
        <v>25</v>
      </c>
      <c r="G152" s="29"/>
      <c r="H152" s="27">
        <v>67</v>
      </c>
      <c r="I152" s="27">
        <v>78</v>
      </c>
      <c r="J152" s="27"/>
      <c r="K152" s="27"/>
      <c r="L152" s="27"/>
      <c r="M152" s="32">
        <f t="shared" si="27"/>
        <v>145</v>
      </c>
      <c r="N152" s="32" t="s">
        <v>1330</v>
      </c>
      <c r="O152" s="32"/>
      <c r="P152" s="42">
        <f t="shared" si="28"/>
        <v>144.9854</v>
      </c>
      <c r="Q152" s="32">
        <f t="shared" si="29"/>
        <v>2</v>
      </c>
      <c r="R152" s="32">
        <f t="shared" ca="1" si="30"/>
        <v>0</v>
      </c>
      <c r="S152" s="33" t="s">
        <v>140</v>
      </c>
      <c r="T152" s="34">
        <f t="shared" si="31"/>
        <v>0</v>
      </c>
      <c r="U152" s="34">
        <f t="shared" ca="1" si="32"/>
        <v>0</v>
      </c>
      <c r="V152" s="34">
        <f>-SUMPRODUCT((S$6:S151=S152)*(X$6:X151=X152))</f>
        <v>0</v>
      </c>
      <c r="W152" s="34">
        <f>-SUMPRODUCT((S$6:S151=S152)*(X$6:X151=X152)*(B$6:B151&lt;&gt;"NS"))</f>
        <v>0</v>
      </c>
      <c r="X152" s="35">
        <f t="shared" si="33"/>
        <v>145.0847</v>
      </c>
      <c r="Y152" s="27">
        <v>78</v>
      </c>
      <c r="Z152" s="27">
        <v>67</v>
      </c>
      <c r="AA152" s="29"/>
      <c r="AB152" s="27"/>
      <c r="AC152" s="27"/>
      <c r="AD152" s="27"/>
      <c r="AF152" s="36">
        <v>0</v>
      </c>
      <c r="AG152" s="36">
        <v>0</v>
      </c>
      <c r="AH152" s="36">
        <v>0</v>
      </c>
      <c r="AI152" s="36">
        <v>0</v>
      </c>
      <c r="AJ152" s="37">
        <v>2</v>
      </c>
      <c r="AK152" s="67">
        <v>144.99318</v>
      </c>
      <c r="AL152" s="39">
        <v>78</v>
      </c>
      <c r="AM152" s="32">
        <v>223</v>
      </c>
      <c r="AN152" s="39"/>
      <c r="AO152" s="39"/>
      <c r="AP152" s="39"/>
      <c r="AQ152" s="30"/>
      <c r="AR152" s="26"/>
      <c r="AS152" s="1"/>
    </row>
    <row r="153" spans="1:45">
      <c r="A153" s="1">
        <v>34</v>
      </c>
      <c r="B153" s="1">
        <v>34</v>
      </c>
      <c r="C153" s="40">
        <f t="shared" si="26"/>
        <v>34</v>
      </c>
      <c r="D153" s="40">
        <f t="shared" si="26"/>
        <v>34</v>
      </c>
      <c r="E153" s="1" t="s">
        <v>804</v>
      </c>
      <c r="F153" s="29" t="s">
        <v>162</v>
      </c>
      <c r="G153" s="29">
        <v>143</v>
      </c>
      <c r="H153" s="27"/>
      <c r="I153" s="27"/>
      <c r="J153" s="27"/>
      <c r="K153" s="27"/>
      <c r="L153" s="27"/>
      <c r="M153" s="32">
        <f t="shared" si="27"/>
        <v>143</v>
      </c>
      <c r="N153" s="32" t="s">
        <v>1330</v>
      </c>
      <c r="O153" s="32"/>
      <c r="P153" s="42">
        <f t="shared" si="28"/>
        <v>142.9853</v>
      </c>
      <c r="Q153" s="32">
        <f t="shared" si="29"/>
        <v>1</v>
      </c>
      <c r="R153" s="32">
        <f t="shared" ca="1" si="30"/>
        <v>0</v>
      </c>
      <c r="S153" s="33" t="s">
        <v>140</v>
      </c>
      <c r="T153" s="34">
        <f t="shared" si="31"/>
        <v>0</v>
      </c>
      <c r="U153" s="34">
        <f t="shared" ca="1" si="32"/>
        <v>0</v>
      </c>
      <c r="V153" s="34">
        <f>-SUMPRODUCT((S$6:S152=S153)*(X$6:X152=X153))</f>
        <v>0</v>
      </c>
      <c r="W153" s="34">
        <f>-SUMPRODUCT((S$6:S152=S153)*(X$6:X152=X153)*(B$6:B152&lt;&gt;"NS"))</f>
        <v>0</v>
      </c>
      <c r="X153" s="35">
        <f t="shared" si="33"/>
        <v>143.143</v>
      </c>
      <c r="Y153" s="29">
        <v>143</v>
      </c>
      <c r="Z153" s="27"/>
      <c r="AA153" s="27"/>
      <c r="AB153" s="27"/>
      <c r="AC153" s="27"/>
      <c r="AD153" s="27"/>
      <c r="AF153" s="36">
        <v>0</v>
      </c>
      <c r="AG153" s="36">
        <v>0</v>
      </c>
      <c r="AH153" s="36">
        <v>0</v>
      </c>
      <c r="AI153" s="36">
        <v>0</v>
      </c>
      <c r="AJ153" s="37">
        <v>1</v>
      </c>
      <c r="AK153" s="67">
        <v>143.12860000000001</v>
      </c>
      <c r="AL153" s="39">
        <v>143</v>
      </c>
      <c r="AM153" s="32">
        <v>286</v>
      </c>
      <c r="AN153" s="39"/>
      <c r="AO153" s="39"/>
      <c r="AP153" s="39"/>
      <c r="AQ153" s="30"/>
      <c r="AR153" s="26"/>
      <c r="AS153" s="1"/>
    </row>
    <row r="154" spans="1:45">
      <c r="A154" s="1">
        <v>35</v>
      </c>
      <c r="B154" s="1">
        <v>35</v>
      </c>
      <c r="C154" s="40">
        <f t="shared" si="26"/>
        <v>35</v>
      </c>
      <c r="D154" s="40">
        <f t="shared" si="26"/>
        <v>35</v>
      </c>
      <c r="E154" s="1" t="s">
        <v>805</v>
      </c>
      <c r="F154" s="29" t="s">
        <v>66</v>
      </c>
      <c r="G154" s="29">
        <v>49</v>
      </c>
      <c r="H154" s="27">
        <v>89</v>
      </c>
      <c r="I154" s="27"/>
      <c r="J154" s="27"/>
      <c r="K154" s="27"/>
      <c r="L154" s="27"/>
      <c r="M154" s="32">
        <f t="shared" si="27"/>
        <v>138</v>
      </c>
      <c r="N154" s="32" t="s">
        <v>1330</v>
      </c>
      <c r="O154" s="32"/>
      <c r="P154" s="42">
        <f t="shared" si="28"/>
        <v>137.98519999999999</v>
      </c>
      <c r="Q154" s="32">
        <f t="shared" si="29"/>
        <v>2</v>
      </c>
      <c r="R154" s="32">
        <f t="shared" ca="1" si="30"/>
        <v>0</v>
      </c>
      <c r="S154" s="33" t="s">
        <v>140</v>
      </c>
      <c r="T154" s="34">
        <f t="shared" si="31"/>
        <v>0</v>
      </c>
      <c r="U154" s="34">
        <f t="shared" ca="1" si="32"/>
        <v>0</v>
      </c>
      <c r="V154" s="34">
        <f>-SUMPRODUCT((S$6:S153=S154)*(X$6:X153=X154))</f>
        <v>0</v>
      </c>
      <c r="W154" s="34">
        <f>-SUMPRODUCT((S$6:S153=S154)*(X$6:X153=X154)*(B$6:B153&lt;&gt;"NS"))</f>
        <v>0</v>
      </c>
      <c r="X154" s="35">
        <f t="shared" si="33"/>
        <v>138.09389999999999</v>
      </c>
      <c r="Y154" s="27">
        <v>89</v>
      </c>
      <c r="Z154" s="29">
        <v>49</v>
      </c>
      <c r="AA154" s="27"/>
      <c r="AB154" s="27"/>
      <c r="AC154" s="27"/>
      <c r="AD154" s="27"/>
      <c r="AF154" s="36">
        <v>0</v>
      </c>
      <c r="AG154" s="36">
        <v>0</v>
      </c>
      <c r="AH154" s="36">
        <v>0</v>
      </c>
      <c r="AI154" s="36">
        <v>0</v>
      </c>
      <c r="AJ154" s="37">
        <v>2</v>
      </c>
      <c r="AK154" s="67">
        <v>138.04340000000002</v>
      </c>
      <c r="AL154" s="39">
        <v>89</v>
      </c>
      <c r="AM154" s="32">
        <v>227</v>
      </c>
      <c r="AN154" s="39"/>
      <c r="AO154" s="39"/>
      <c r="AP154" s="39"/>
      <c r="AQ154" s="30"/>
      <c r="AR154" s="26"/>
      <c r="AS154" s="1"/>
    </row>
    <row r="155" spans="1:45">
      <c r="A155" s="1">
        <v>36</v>
      </c>
      <c r="B155" s="1">
        <v>36</v>
      </c>
      <c r="C155" s="40">
        <f t="shared" si="26"/>
        <v>36</v>
      </c>
      <c r="D155" s="40">
        <f t="shared" si="26"/>
        <v>36</v>
      </c>
      <c r="E155" s="1" t="s">
        <v>806</v>
      </c>
      <c r="F155" s="29" t="s">
        <v>118</v>
      </c>
      <c r="G155" s="29"/>
      <c r="H155" s="27"/>
      <c r="I155" s="27"/>
      <c r="J155" s="27">
        <v>132</v>
      </c>
      <c r="K155" s="27"/>
      <c r="L155" s="27"/>
      <c r="M155" s="32">
        <f t="shared" si="27"/>
        <v>132</v>
      </c>
      <c r="N155" s="32" t="s">
        <v>1330</v>
      </c>
      <c r="O155" s="32"/>
      <c r="P155" s="42">
        <f t="shared" si="28"/>
        <v>131.98509999999999</v>
      </c>
      <c r="Q155" s="32">
        <f t="shared" si="29"/>
        <v>1</v>
      </c>
      <c r="R155" s="32">
        <f t="shared" ca="1" si="30"/>
        <v>0</v>
      </c>
      <c r="S155" s="33" t="s">
        <v>140</v>
      </c>
      <c r="T155" s="34">
        <f t="shared" si="31"/>
        <v>0</v>
      </c>
      <c r="U155" s="34">
        <f t="shared" ca="1" si="32"/>
        <v>0</v>
      </c>
      <c r="V155" s="34">
        <f>-SUMPRODUCT((S$6:S154=S155)*(X$6:X154=X155))</f>
        <v>0</v>
      </c>
      <c r="W155" s="34">
        <f>-SUMPRODUCT((S$6:S154=S155)*(X$6:X154=X155)*(B$6:B154&lt;&gt;"NS"))</f>
        <v>0</v>
      </c>
      <c r="X155" s="35">
        <f t="shared" si="33"/>
        <v>132.13200000000001</v>
      </c>
      <c r="Y155" s="27">
        <v>132</v>
      </c>
      <c r="Z155" s="29"/>
      <c r="AA155" s="27"/>
      <c r="AB155" s="27"/>
      <c r="AC155" s="27"/>
      <c r="AD155" s="27"/>
      <c r="AF155" s="36">
        <v>0</v>
      </c>
      <c r="AG155" s="36">
        <v>0</v>
      </c>
      <c r="AH155" s="36">
        <v>0</v>
      </c>
      <c r="AI155" s="36">
        <v>0</v>
      </c>
      <c r="AJ155" s="37">
        <v>1</v>
      </c>
      <c r="AK155" s="67">
        <v>131.98671999999999</v>
      </c>
      <c r="AL155" s="39">
        <v>132</v>
      </c>
      <c r="AM155" s="32">
        <v>264</v>
      </c>
      <c r="AN155" s="39"/>
      <c r="AO155" s="39"/>
      <c r="AP155" s="39"/>
      <c r="AQ155" s="30"/>
      <c r="AR155" s="26"/>
      <c r="AS155" s="1"/>
    </row>
    <row r="156" spans="1:45">
      <c r="A156" s="1">
        <v>37</v>
      </c>
      <c r="B156" s="1" t="s">
        <v>111</v>
      </c>
      <c r="C156" s="40">
        <f t="shared" si="26"/>
        <v>37</v>
      </c>
      <c r="D156" s="40" t="str">
        <f t="shared" si="26"/>
        <v>NS</v>
      </c>
      <c r="E156" s="1" t="s">
        <v>807</v>
      </c>
      <c r="F156" s="29" t="s">
        <v>201</v>
      </c>
      <c r="G156" s="29"/>
      <c r="H156" s="27"/>
      <c r="I156" s="27">
        <v>129</v>
      </c>
      <c r="J156" s="27"/>
      <c r="K156" s="27"/>
      <c r="L156" s="27"/>
      <c r="M156" s="32">
        <f t="shared" si="27"/>
        <v>129</v>
      </c>
      <c r="N156" s="32" t="s">
        <v>1331</v>
      </c>
      <c r="O156" s="32"/>
      <c r="P156" s="42">
        <f t="shared" si="28"/>
        <v>128.98500000000001</v>
      </c>
      <c r="Q156" s="32">
        <f t="shared" si="29"/>
        <v>1</v>
      </c>
      <c r="R156" s="32">
        <f t="shared" ca="1" si="30"/>
        <v>0</v>
      </c>
      <c r="S156" s="33" t="s">
        <v>140</v>
      </c>
      <c r="T156" s="34">
        <f t="shared" si="31"/>
        <v>0</v>
      </c>
      <c r="U156" s="34">
        <f t="shared" ca="1" si="32"/>
        <v>0</v>
      </c>
      <c r="V156" s="34">
        <f>-SUMPRODUCT((S$6:S155=S156)*(X$6:X155=X156))</f>
        <v>0</v>
      </c>
      <c r="W156" s="34">
        <f>-SUMPRODUCT((S$6:S155=S156)*(X$6:X155=X156)*(B$6:B155&lt;&gt;"NS"))</f>
        <v>0</v>
      </c>
      <c r="X156" s="35">
        <f t="shared" si="33"/>
        <v>129.12899999999999</v>
      </c>
      <c r="Y156" s="27">
        <v>129</v>
      </c>
      <c r="Z156" s="29"/>
      <c r="AA156" s="27"/>
      <c r="AB156" s="27"/>
      <c r="AC156" s="27"/>
      <c r="AD156" s="27"/>
      <c r="AF156" s="36">
        <v>0</v>
      </c>
      <c r="AG156" s="36">
        <v>0</v>
      </c>
      <c r="AH156" s="36">
        <v>0</v>
      </c>
      <c r="AI156" s="36">
        <v>0</v>
      </c>
      <c r="AJ156" s="37">
        <v>1</v>
      </c>
      <c r="AK156" s="67">
        <v>128.98659000000001</v>
      </c>
      <c r="AL156" s="39">
        <v>129</v>
      </c>
      <c r="AM156" s="32">
        <v>0</v>
      </c>
      <c r="AN156" s="39"/>
      <c r="AO156" s="39"/>
      <c r="AP156" s="39"/>
      <c r="AQ156" s="30"/>
      <c r="AR156" s="26"/>
      <c r="AS156" s="1"/>
    </row>
    <row r="157" spans="1:45">
      <c r="A157" s="1">
        <v>38</v>
      </c>
      <c r="B157" s="1">
        <v>37</v>
      </c>
      <c r="C157" s="40">
        <f t="shared" si="26"/>
        <v>38</v>
      </c>
      <c r="D157" s="40">
        <f t="shared" si="26"/>
        <v>37</v>
      </c>
      <c r="E157" s="1" t="s">
        <v>808</v>
      </c>
      <c r="F157" s="29" t="s">
        <v>29</v>
      </c>
      <c r="G157" s="29">
        <v>125</v>
      </c>
      <c r="H157" s="27"/>
      <c r="I157" s="27"/>
      <c r="J157" s="27"/>
      <c r="K157" s="27"/>
      <c r="L157" s="27"/>
      <c r="M157" s="32">
        <f t="shared" si="27"/>
        <v>125</v>
      </c>
      <c r="N157" s="32" t="s">
        <v>1330</v>
      </c>
      <c r="O157" s="32"/>
      <c r="P157" s="42">
        <f t="shared" si="28"/>
        <v>124.9849</v>
      </c>
      <c r="Q157" s="32">
        <f t="shared" si="29"/>
        <v>1</v>
      </c>
      <c r="R157" s="32">
        <f t="shared" ca="1" si="30"/>
        <v>0</v>
      </c>
      <c r="S157" s="33" t="s">
        <v>140</v>
      </c>
      <c r="T157" s="34">
        <f t="shared" si="31"/>
        <v>0</v>
      </c>
      <c r="U157" s="34">
        <f t="shared" ca="1" si="32"/>
        <v>0</v>
      </c>
      <c r="V157" s="34">
        <f>-SUMPRODUCT((S$6:S156=S157)*(X$6:X156=X157))</f>
        <v>0</v>
      </c>
      <c r="W157" s="34">
        <f>-SUMPRODUCT((S$6:S156=S157)*(X$6:X156=X157)*(B$6:B156&lt;&gt;"NS"))</f>
        <v>0</v>
      </c>
      <c r="X157" s="35">
        <f t="shared" si="33"/>
        <v>125.125</v>
      </c>
      <c r="Y157" s="29">
        <v>125</v>
      </c>
      <c r="Z157" s="27"/>
      <c r="AA157" s="27"/>
      <c r="AB157" s="27"/>
      <c r="AC157" s="27"/>
      <c r="AD157" s="27"/>
      <c r="AF157" s="36">
        <v>0</v>
      </c>
      <c r="AG157" s="36">
        <v>0</v>
      </c>
      <c r="AH157" s="36">
        <v>0</v>
      </c>
      <c r="AI157" s="36">
        <v>0</v>
      </c>
      <c r="AJ157" s="37">
        <v>1</v>
      </c>
      <c r="AK157" s="67">
        <v>125.11020000000001</v>
      </c>
      <c r="AL157" s="39">
        <v>125</v>
      </c>
      <c r="AM157" s="32">
        <v>250</v>
      </c>
      <c r="AN157" s="39"/>
      <c r="AO157" s="39"/>
      <c r="AP157" s="39"/>
      <c r="AQ157" s="30"/>
      <c r="AR157" s="26"/>
      <c r="AS157" s="1"/>
    </row>
    <row r="158" spans="1:45">
      <c r="A158" s="1">
        <v>39</v>
      </c>
      <c r="B158" s="1">
        <v>38</v>
      </c>
      <c r="C158" s="40">
        <f t="shared" si="26"/>
        <v>39</v>
      </c>
      <c r="D158" s="40">
        <f t="shared" si="26"/>
        <v>38</v>
      </c>
      <c r="E158" s="1" t="s">
        <v>809</v>
      </c>
      <c r="F158" s="29" t="s">
        <v>88</v>
      </c>
      <c r="G158" s="29"/>
      <c r="H158" s="27">
        <v>121</v>
      </c>
      <c r="I158" s="27"/>
      <c r="J158" s="27"/>
      <c r="K158" s="27"/>
      <c r="L158" s="27"/>
      <c r="M158" s="32">
        <f t="shared" si="27"/>
        <v>121</v>
      </c>
      <c r="N158" s="32" t="s">
        <v>1330</v>
      </c>
      <c r="O158" s="32"/>
      <c r="P158" s="42">
        <f t="shared" si="28"/>
        <v>120.98480000000001</v>
      </c>
      <c r="Q158" s="32">
        <f t="shared" si="29"/>
        <v>1</v>
      </c>
      <c r="R158" s="32">
        <f t="shared" ca="1" si="30"/>
        <v>0</v>
      </c>
      <c r="S158" s="33" t="s">
        <v>140</v>
      </c>
      <c r="T158" s="34">
        <f t="shared" si="31"/>
        <v>0</v>
      </c>
      <c r="U158" s="34">
        <f t="shared" ca="1" si="32"/>
        <v>0</v>
      </c>
      <c r="V158" s="34">
        <f>-SUMPRODUCT((S$6:S157=S158)*(X$6:X157=X158))</f>
        <v>0</v>
      </c>
      <c r="W158" s="34">
        <f>-SUMPRODUCT((S$6:S157=S158)*(X$6:X157=X158)*(B$6:B157&lt;&gt;"NS"))</f>
        <v>0</v>
      </c>
      <c r="X158" s="35">
        <f t="shared" si="33"/>
        <v>121.121</v>
      </c>
      <c r="Y158" s="27">
        <v>121</v>
      </c>
      <c r="Z158" s="29"/>
      <c r="AA158" s="27"/>
      <c r="AB158" s="27"/>
      <c r="AC158" s="27"/>
      <c r="AD158" s="27"/>
      <c r="AF158" s="36">
        <v>0</v>
      </c>
      <c r="AG158" s="36">
        <v>0</v>
      </c>
      <c r="AH158" s="36">
        <v>0</v>
      </c>
      <c r="AI158" s="36">
        <v>0</v>
      </c>
      <c r="AJ158" s="37">
        <v>1</v>
      </c>
      <c r="AK158" s="67">
        <v>120.99720000000001</v>
      </c>
      <c r="AL158" s="39">
        <v>121</v>
      </c>
      <c r="AM158" s="32">
        <v>242</v>
      </c>
      <c r="AN158" s="39"/>
      <c r="AO158" s="39"/>
      <c r="AP158" s="39"/>
      <c r="AQ158" s="30"/>
      <c r="AR158" s="26"/>
      <c r="AS158" s="1"/>
    </row>
    <row r="159" spans="1:45">
      <c r="A159" s="1">
        <v>40</v>
      </c>
      <c r="B159" s="1">
        <v>39</v>
      </c>
      <c r="C159" s="40">
        <f t="shared" si="26"/>
        <v>40</v>
      </c>
      <c r="D159" s="40">
        <f t="shared" si="26"/>
        <v>39</v>
      </c>
      <c r="E159" s="1" t="s">
        <v>810</v>
      </c>
      <c r="F159" s="29" t="s">
        <v>412</v>
      </c>
      <c r="G159" s="29">
        <v>119</v>
      </c>
      <c r="H159" s="27"/>
      <c r="I159" s="27"/>
      <c r="J159" s="27"/>
      <c r="K159" s="27"/>
      <c r="L159" s="27"/>
      <c r="M159" s="32">
        <f t="shared" si="27"/>
        <v>119</v>
      </c>
      <c r="N159" s="32" t="s">
        <v>1330</v>
      </c>
      <c r="O159" s="32"/>
      <c r="P159" s="42">
        <f t="shared" si="28"/>
        <v>118.9847</v>
      </c>
      <c r="Q159" s="32">
        <f t="shared" si="29"/>
        <v>1</v>
      </c>
      <c r="R159" s="32">
        <f t="shared" ca="1" si="30"/>
        <v>0</v>
      </c>
      <c r="S159" s="33" t="s">
        <v>140</v>
      </c>
      <c r="T159" s="34">
        <f t="shared" si="31"/>
        <v>0</v>
      </c>
      <c r="U159" s="34">
        <f t="shared" ca="1" si="32"/>
        <v>0</v>
      </c>
      <c r="V159" s="34">
        <f>-SUMPRODUCT((S$6:S158=S159)*(X$6:X158=X159))</f>
        <v>0</v>
      </c>
      <c r="W159" s="34">
        <f>-SUMPRODUCT((S$6:S158=S159)*(X$6:X158=X159)*(B$6:B158&lt;&gt;"NS"))</f>
        <v>0</v>
      </c>
      <c r="X159" s="35">
        <f t="shared" si="33"/>
        <v>119.119</v>
      </c>
      <c r="Y159" s="29">
        <v>119</v>
      </c>
      <c r="Z159" s="27"/>
      <c r="AA159" s="27"/>
      <c r="AB159" s="27"/>
      <c r="AC159" s="27"/>
      <c r="AD159" s="27"/>
      <c r="AF159" s="36">
        <v>0</v>
      </c>
      <c r="AG159" s="36">
        <v>0</v>
      </c>
      <c r="AH159" s="36">
        <v>0</v>
      </c>
      <c r="AI159" s="36">
        <v>0</v>
      </c>
      <c r="AJ159" s="37">
        <v>1</v>
      </c>
      <c r="AK159" s="67">
        <v>119.104</v>
      </c>
      <c r="AL159" s="39">
        <v>119</v>
      </c>
      <c r="AM159" s="32">
        <v>238</v>
      </c>
      <c r="AN159" s="39"/>
      <c r="AO159" s="39"/>
      <c r="AP159" s="39"/>
      <c r="AQ159" s="30"/>
      <c r="AR159" s="26"/>
      <c r="AS159" s="1"/>
    </row>
    <row r="160" spans="1:45">
      <c r="A160" s="1">
        <v>41</v>
      </c>
      <c r="B160" s="1">
        <v>40</v>
      </c>
      <c r="C160" s="40">
        <f t="shared" si="26"/>
        <v>41</v>
      </c>
      <c r="D160" s="40">
        <f t="shared" si="26"/>
        <v>40</v>
      </c>
      <c r="E160" s="1" t="s">
        <v>811</v>
      </c>
      <c r="F160" s="29" t="s">
        <v>88</v>
      </c>
      <c r="G160" s="29"/>
      <c r="H160" s="27"/>
      <c r="I160" s="27"/>
      <c r="J160" s="27">
        <v>115</v>
      </c>
      <c r="K160" s="27"/>
      <c r="L160" s="27"/>
      <c r="M160" s="32">
        <f t="shared" si="27"/>
        <v>115</v>
      </c>
      <c r="N160" s="32" t="s">
        <v>1330</v>
      </c>
      <c r="O160" s="32"/>
      <c r="P160" s="42">
        <f t="shared" si="28"/>
        <v>114.9846</v>
      </c>
      <c r="Q160" s="32">
        <f t="shared" si="29"/>
        <v>1</v>
      </c>
      <c r="R160" s="32">
        <f t="shared" ca="1" si="30"/>
        <v>0</v>
      </c>
      <c r="S160" s="33" t="s">
        <v>140</v>
      </c>
      <c r="T160" s="34">
        <f t="shared" si="31"/>
        <v>0</v>
      </c>
      <c r="U160" s="34">
        <f t="shared" ca="1" si="32"/>
        <v>0</v>
      </c>
      <c r="V160" s="34">
        <f>-SUMPRODUCT((S$6:S159=S160)*(X$6:X159=X160))</f>
        <v>0</v>
      </c>
      <c r="W160" s="34">
        <f>-SUMPRODUCT((S$6:S159=S160)*(X$6:X159=X160)*(B$6:B159&lt;&gt;"NS"))</f>
        <v>0</v>
      </c>
      <c r="X160" s="35">
        <f t="shared" si="33"/>
        <v>115.11499999999999</v>
      </c>
      <c r="Y160" s="27">
        <v>115</v>
      </c>
      <c r="Z160" s="29"/>
      <c r="AA160" s="27"/>
      <c r="AB160" s="27"/>
      <c r="AC160" s="27"/>
      <c r="AD160" s="27"/>
      <c r="AF160" s="36">
        <v>0</v>
      </c>
      <c r="AG160" s="36">
        <v>0</v>
      </c>
      <c r="AH160" s="36">
        <v>0</v>
      </c>
      <c r="AI160" s="36">
        <v>0</v>
      </c>
      <c r="AJ160" s="37">
        <v>1</v>
      </c>
      <c r="AK160" s="67">
        <v>114.98604999999999</v>
      </c>
      <c r="AL160" s="39">
        <v>115</v>
      </c>
      <c r="AM160" s="32">
        <v>230</v>
      </c>
      <c r="AN160" s="39"/>
      <c r="AO160" s="39"/>
      <c r="AP160" s="39"/>
      <c r="AQ160" s="30"/>
      <c r="AR160" s="26"/>
      <c r="AS160" s="1"/>
    </row>
    <row r="161" spans="1:45">
      <c r="A161" s="1">
        <v>42</v>
      </c>
      <c r="B161" s="1">
        <v>41</v>
      </c>
      <c r="C161" s="40">
        <f t="shared" si="26"/>
        <v>42</v>
      </c>
      <c r="D161" s="40">
        <f t="shared" si="26"/>
        <v>41</v>
      </c>
      <c r="E161" s="1" t="s">
        <v>812</v>
      </c>
      <c r="F161" s="29" t="s">
        <v>19</v>
      </c>
      <c r="G161" s="29">
        <v>114</v>
      </c>
      <c r="H161" s="27"/>
      <c r="I161" s="27"/>
      <c r="J161" s="27"/>
      <c r="K161" s="27"/>
      <c r="L161" s="27"/>
      <c r="M161" s="32">
        <f t="shared" si="27"/>
        <v>114</v>
      </c>
      <c r="N161" s="32" t="s">
        <v>1330</v>
      </c>
      <c r="O161" s="32"/>
      <c r="P161" s="42">
        <f t="shared" si="28"/>
        <v>113.9845</v>
      </c>
      <c r="Q161" s="32">
        <f t="shared" si="29"/>
        <v>1</v>
      </c>
      <c r="R161" s="32">
        <f t="shared" ca="1" si="30"/>
        <v>0</v>
      </c>
      <c r="S161" s="33" t="s">
        <v>140</v>
      </c>
      <c r="T161" s="34">
        <f t="shared" si="31"/>
        <v>0</v>
      </c>
      <c r="U161" s="34">
        <f t="shared" ca="1" si="32"/>
        <v>0</v>
      </c>
      <c r="V161" s="34">
        <f>-SUMPRODUCT((S$6:S160=S161)*(X$6:X160=X161))</f>
        <v>0</v>
      </c>
      <c r="W161" s="34">
        <f>-SUMPRODUCT((S$6:S160=S161)*(X$6:X160=X161)*(B$6:B160&lt;&gt;"NS"))</f>
        <v>0</v>
      </c>
      <c r="X161" s="35">
        <f t="shared" si="33"/>
        <v>114.114</v>
      </c>
      <c r="Y161" s="29">
        <v>114</v>
      </c>
      <c r="Z161" s="27"/>
      <c r="AA161" s="27"/>
      <c r="AB161" s="27"/>
      <c r="AC161" s="27"/>
      <c r="AD161" s="27"/>
      <c r="AF161" s="36">
        <v>0</v>
      </c>
      <c r="AG161" s="36">
        <v>0</v>
      </c>
      <c r="AH161" s="36">
        <v>0</v>
      </c>
      <c r="AI161" s="36">
        <v>0</v>
      </c>
      <c r="AJ161" s="37">
        <v>1</v>
      </c>
      <c r="AK161" s="67">
        <v>114.09880000000001</v>
      </c>
      <c r="AL161" s="39">
        <v>114</v>
      </c>
      <c r="AM161" s="32">
        <v>228</v>
      </c>
      <c r="AN161" s="39"/>
      <c r="AO161" s="39"/>
      <c r="AP161" s="39"/>
      <c r="AQ161" s="30"/>
      <c r="AR161" s="26"/>
      <c r="AS161" s="1"/>
    </row>
    <row r="162" spans="1:45">
      <c r="A162" s="1">
        <v>43</v>
      </c>
      <c r="B162" s="1">
        <v>42</v>
      </c>
      <c r="C162" s="40">
        <f t="shared" si="26"/>
        <v>43</v>
      </c>
      <c r="D162" s="40">
        <f t="shared" si="26"/>
        <v>42</v>
      </c>
      <c r="E162" s="1" t="s">
        <v>813</v>
      </c>
      <c r="F162" s="29" t="s">
        <v>93</v>
      </c>
      <c r="G162" s="29"/>
      <c r="H162" s="27"/>
      <c r="I162" s="27">
        <v>112</v>
      </c>
      <c r="J162" s="27"/>
      <c r="K162" s="27"/>
      <c r="L162" s="27"/>
      <c r="M162" s="32">
        <f t="shared" si="27"/>
        <v>112</v>
      </c>
      <c r="N162" s="32" t="s">
        <v>1330</v>
      </c>
      <c r="O162" s="32"/>
      <c r="P162" s="42">
        <f t="shared" si="28"/>
        <v>111.98439999999999</v>
      </c>
      <c r="Q162" s="32">
        <f t="shared" si="29"/>
        <v>1</v>
      </c>
      <c r="R162" s="32">
        <f t="shared" ca="1" si="30"/>
        <v>0</v>
      </c>
      <c r="S162" s="33" t="s">
        <v>140</v>
      </c>
      <c r="T162" s="34">
        <f t="shared" si="31"/>
        <v>0</v>
      </c>
      <c r="U162" s="34">
        <f t="shared" ca="1" si="32"/>
        <v>0</v>
      </c>
      <c r="V162" s="34">
        <f>-SUMPRODUCT((S$6:S161=S162)*(X$6:X161=X162))</f>
        <v>0</v>
      </c>
      <c r="W162" s="34">
        <f>-SUMPRODUCT((S$6:S161=S162)*(X$6:X161=X162)*(B$6:B161&lt;&gt;"NS"))</f>
        <v>0</v>
      </c>
      <c r="X162" s="35">
        <f t="shared" si="33"/>
        <v>112.11199999999999</v>
      </c>
      <c r="Y162" s="27">
        <v>112</v>
      </c>
      <c r="Z162" s="29"/>
      <c r="AA162" s="27"/>
      <c r="AB162" s="27"/>
      <c r="AC162" s="27"/>
      <c r="AD162" s="27"/>
      <c r="AF162" s="36">
        <v>0</v>
      </c>
      <c r="AG162" s="36">
        <v>0</v>
      </c>
      <c r="AH162" s="36">
        <v>0</v>
      </c>
      <c r="AI162" s="36">
        <v>0</v>
      </c>
      <c r="AJ162" s="37">
        <v>1</v>
      </c>
      <c r="AK162" s="67">
        <v>111.98582</v>
      </c>
      <c r="AL162" s="39">
        <v>112</v>
      </c>
      <c r="AM162" s="32">
        <v>224</v>
      </c>
      <c r="AN162" s="39"/>
      <c r="AO162" s="39"/>
      <c r="AP162" s="39"/>
      <c r="AQ162" s="30"/>
      <c r="AR162" s="26"/>
      <c r="AS162" s="1"/>
    </row>
    <row r="163" spans="1:45">
      <c r="A163" s="1">
        <v>44</v>
      </c>
      <c r="B163" s="1">
        <v>43</v>
      </c>
      <c r="C163" s="40">
        <f t="shared" si="26"/>
        <v>44</v>
      </c>
      <c r="D163" s="40">
        <f t="shared" si="26"/>
        <v>43</v>
      </c>
      <c r="E163" s="1" t="s">
        <v>814</v>
      </c>
      <c r="F163" s="29" t="s">
        <v>69</v>
      </c>
      <c r="G163" s="29"/>
      <c r="H163" s="27">
        <v>108</v>
      </c>
      <c r="I163" s="27"/>
      <c r="J163" s="27"/>
      <c r="K163" s="27"/>
      <c r="L163" s="27"/>
      <c r="M163" s="32">
        <f t="shared" si="27"/>
        <v>108</v>
      </c>
      <c r="N163" s="32" t="s">
        <v>1330</v>
      </c>
      <c r="O163" s="32"/>
      <c r="P163" s="42">
        <f t="shared" si="28"/>
        <v>107.9843</v>
      </c>
      <c r="Q163" s="32">
        <f t="shared" si="29"/>
        <v>1</v>
      </c>
      <c r="R163" s="32">
        <f t="shared" ca="1" si="30"/>
        <v>0</v>
      </c>
      <c r="S163" s="33" t="s">
        <v>140</v>
      </c>
      <c r="T163" s="34">
        <f t="shared" si="31"/>
        <v>0</v>
      </c>
      <c r="U163" s="34">
        <f t="shared" ca="1" si="32"/>
        <v>0</v>
      </c>
      <c r="V163" s="34">
        <f>-SUMPRODUCT((S$6:S162=S163)*(X$6:X162=X163))</f>
        <v>0</v>
      </c>
      <c r="W163" s="34">
        <f>-SUMPRODUCT((S$6:S162=S163)*(X$6:X162=X163)*(B$6:B162&lt;&gt;"NS"))</f>
        <v>0</v>
      </c>
      <c r="X163" s="35">
        <f t="shared" si="33"/>
        <v>108.108</v>
      </c>
      <c r="Y163" s="27">
        <v>108</v>
      </c>
      <c r="Z163" s="29"/>
      <c r="AA163" s="27"/>
      <c r="AB163" s="27"/>
      <c r="AC163" s="27"/>
      <c r="AD163" s="27"/>
      <c r="AF163" s="36">
        <v>0</v>
      </c>
      <c r="AG163" s="36">
        <v>0</v>
      </c>
      <c r="AH163" s="36">
        <v>0</v>
      </c>
      <c r="AI163" s="36">
        <v>0</v>
      </c>
      <c r="AJ163" s="37">
        <v>1</v>
      </c>
      <c r="AK163" s="67">
        <v>107.9954</v>
      </c>
      <c r="AL163" s="39">
        <v>108</v>
      </c>
      <c r="AM163" s="32">
        <v>216</v>
      </c>
      <c r="AN163" s="39"/>
      <c r="AO163" s="39"/>
      <c r="AP163" s="39"/>
      <c r="AQ163" s="30"/>
      <c r="AR163" s="26"/>
      <c r="AS163" s="1"/>
    </row>
    <row r="164" spans="1:45">
      <c r="A164" s="1">
        <v>45</v>
      </c>
      <c r="B164" s="1">
        <v>44</v>
      </c>
      <c r="C164" s="40">
        <f t="shared" si="26"/>
        <v>45</v>
      </c>
      <c r="D164" s="40">
        <f t="shared" si="26"/>
        <v>44</v>
      </c>
      <c r="E164" s="1" t="s">
        <v>815</v>
      </c>
      <c r="F164" s="29" t="s">
        <v>69</v>
      </c>
      <c r="G164" s="29">
        <v>30</v>
      </c>
      <c r="H164" s="27"/>
      <c r="I164" s="27">
        <v>71</v>
      </c>
      <c r="J164" s="27"/>
      <c r="K164" s="27"/>
      <c r="L164" s="27"/>
      <c r="M164" s="32">
        <f t="shared" si="27"/>
        <v>101</v>
      </c>
      <c r="N164" s="32" t="s">
        <v>1330</v>
      </c>
      <c r="O164" s="32"/>
      <c r="P164" s="42">
        <f t="shared" si="28"/>
        <v>100.9842</v>
      </c>
      <c r="Q164" s="32">
        <f t="shared" si="29"/>
        <v>2</v>
      </c>
      <c r="R164" s="32">
        <f t="shared" ca="1" si="30"/>
        <v>0</v>
      </c>
      <c r="S164" s="33" t="s">
        <v>140</v>
      </c>
      <c r="T164" s="34">
        <f t="shared" si="31"/>
        <v>0</v>
      </c>
      <c r="U164" s="34">
        <f t="shared" ca="1" si="32"/>
        <v>0</v>
      </c>
      <c r="V164" s="34">
        <f>-SUMPRODUCT((S$6:S163=S164)*(X$6:X163=X164))</f>
        <v>0</v>
      </c>
      <c r="W164" s="34">
        <f>-SUMPRODUCT((S$6:S163=S164)*(X$6:X163=X164)*(B$6:B163&lt;&gt;"NS"))</f>
        <v>0</v>
      </c>
      <c r="X164" s="35">
        <f t="shared" si="33"/>
        <v>101.074</v>
      </c>
      <c r="Y164" s="27">
        <v>71</v>
      </c>
      <c r="Z164" s="29">
        <v>30</v>
      </c>
      <c r="AA164" s="27"/>
      <c r="AB164" s="27"/>
      <c r="AC164" s="27"/>
      <c r="AD164" s="27"/>
      <c r="AF164" s="36">
        <v>0</v>
      </c>
      <c r="AG164" s="36">
        <v>0</v>
      </c>
      <c r="AH164" s="36">
        <v>0</v>
      </c>
      <c r="AI164" s="36">
        <v>0</v>
      </c>
      <c r="AJ164" s="37">
        <v>2</v>
      </c>
      <c r="AK164" s="67">
        <v>101.01521</v>
      </c>
      <c r="AL164" s="39">
        <v>71</v>
      </c>
      <c r="AM164" s="32">
        <v>172</v>
      </c>
      <c r="AN164" s="39"/>
      <c r="AO164" s="39"/>
      <c r="AP164" s="39"/>
      <c r="AQ164" s="30"/>
      <c r="AR164" s="26"/>
      <c r="AS164" s="1"/>
    </row>
    <row r="165" spans="1:45">
      <c r="A165" s="1">
        <v>46</v>
      </c>
      <c r="B165" s="1">
        <v>45</v>
      </c>
      <c r="C165" s="40">
        <f t="shared" si="26"/>
        <v>46</v>
      </c>
      <c r="D165" s="40">
        <f t="shared" si="26"/>
        <v>45</v>
      </c>
      <c r="E165" s="1" t="s">
        <v>816</v>
      </c>
      <c r="F165" s="29" t="s">
        <v>118</v>
      </c>
      <c r="G165" s="29"/>
      <c r="H165" s="27"/>
      <c r="I165" s="27"/>
      <c r="J165" s="27">
        <v>98</v>
      </c>
      <c r="K165" s="27"/>
      <c r="L165" s="27"/>
      <c r="M165" s="32">
        <f t="shared" si="27"/>
        <v>98</v>
      </c>
      <c r="N165" s="32" t="s">
        <v>1330</v>
      </c>
      <c r="O165" s="32"/>
      <c r="P165" s="42">
        <f t="shared" si="28"/>
        <v>97.984099999999998</v>
      </c>
      <c r="Q165" s="32">
        <f t="shared" si="29"/>
        <v>1</v>
      </c>
      <c r="R165" s="32">
        <f t="shared" ca="1" si="30"/>
        <v>0</v>
      </c>
      <c r="S165" s="33" t="s">
        <v>140</v>
      </c>
      <c r="T165" s="34">
        <f t="shared" si="31"/>
        <v>0</v>
      </c>
      <c r="U165" s="34">
        <f t="shared" ca="1" si="32"/>
        <v>0</v>
      </c>
      <c r="V165" s="34">
        <f>-SUMPRODUCT((S$6:S164=S165)*(X$6:X164=X165))</f>
        <v>0</v>
      </c>
      <c r="W165" s="34">
        <f>-SUMPRODUCT((S$6:S164=S165)*(X$6:X164=X165)*(B$6:B164&lt;&gt;"NS"))</f>
        <v>0</v>
      </c>
      <c r="X165" s="35">
        <f t="shared" si="33"/>
        <v>98.097999999999999</v>
      </c>
      <c r="Y165" s="27">
        <v>98</v>
      </c>
      <c r="Z165" s="29"/>
      <c r="AA165" s="27"/>
      <c r="AB165" s="27"/>
      <c r="AC165" s="27"/>
      <c r="AD165" s="27"/>
      <c r="AF165" s="36">
        <v>0</v>
      </c>
      <c r="AG165" s="36">
        <v>0</v>
      </c>
      <c r="AH165" s="36">
        <v>0</v>
      </c>
      <c r="AI165" s="36">
        <v>0</v>
      </c>
      <c r="AJ165" s="37">
        <v>1</v>
      </c>
      <c r="AK165" s="67">
        <v>97.985379999999992</v>
      </c>
      <c r="AL165" s="39">
        <v>98</v>
      </c>
      <c r="AM165" s="32">
        <v>196</v>
      </c>
      <c r="AN165" s="39"/>
      <c r="AO165" s="39"/>
      <c r="AP165" s="39"/>
      <c r="AQ165" s="30"/>
      <c r="AR165" s="26"/>
      <c r="AS165" s="1"/>
    </row>
    <row r="166" spans="1:45">
      <c r="A166" s="1">
        <v>47</v>
      </c>
      <c r="B166" s="1">
        <v>46</v>
      </c>
      <c r="C166" s="40">
        <f t="shared" si="26"/>
        <v>47</v>
      </c>
      <c r="D166" s="40">
        <f t="shared" si="26"/>
        <v>46</v>
      </c>
      <c r="E166" s="1" t="s">
        <v>817</v>
      </c>
      <c r="F166" s="29" t="s">
        <v>25</v>
      </c>
      <c r="G166" s="29"/>
      <c r="H166" s="27"/>
      <c r="I166" s="27">
        <v>79</v>
      </c>
      <c r="J166" s="27"/>
      <c r="K166" s="27"/>
      <c r="L166" s="27"/>
      <c r="M166" s="32">
        <f t="shared" si="27"/>
        <v>79</v>
      </c>
      <c r="N166" s="32" t="s">
        <v>1330</v>
      </c>
      <c r="O166" s="32"/>
      <c r="P166" s="42">
        <f t="shared" si="28"/>
        <v>78.983999999999995</v>
      </c>
      <c r="Q166" s="32">
        <f t="shared" si="29"/>
        <v>1</v>
      </c>
      <c r="R166" s="32">
        <f t="shared" ca="1" si="30"/>
        <v>0</v>
      </c>
      <c r="S166" s="33" t="s">
        <v>140</v>
      </c>
      <c r="T166" s="34">
        <f t="shared" si="31"/>
        <v>0</v>
      </c>
      <c r="U166" s="34">
        <f t="shared" ca="1" si="32"/>
        <v>0</v>
      </c>
      <c r="V166" s="34">
        <f>-SUMPRODUCT((S$6:S165=S166)*(X$6:X165=X166))</f>
        <v>0</v>
      </c>
      <c r="W166" s="34">
        <f>-SUMPRODUCT((S$6:S165=S166)*(X$6:X165=X166)*(B$6:B165&lt;&gt;"NS"))</f>
        <v>0</v>
      </c>
      <c r="X166" s="35">
        <f t="shared" si="33"/>
        <v>79.078999999999994</v>
      </c>
      <c r="Y166" s="27">
        <v>79</v>
      </c>
      <c r="Z166" s="29"/>
      <c r="AA166" s="27"/>
      <c r="AB166" s="27"/>
      <c r="AC166" s="27"/>
      <c r="AD166" s="27"/>
      <c r="AF166" s="36">
        <v>0</v>
      </c>
      <c r="AG166" s="36">
        <v>0</v>
      </c>
      <c r="AH166" s="36">
        <v>0</v>
      </c>
      <c r="AI166" s="36">
        <v>0</v>
      </c>
      <c r="AJ166" s="37">
        <v>1</v>
      </c>
      <c r="AK166" s="67">
        <v>78.98509</v>
      </c>
      <c r="AL166" s="39">
        <v>79</v>
      </c>
      <c r="AM166" s="32">
        <v>158</v>
      </c>
      <c r="AN166" s="39"/>
      <c r="AO166" s="39"/>
      <c r="AP166" s="39"/>
      <c r="AQ166" s="30"/>
      <c r="AR166" s="26"/>
      <c r="AS166" s="1"/>
    </row>
    <row r="167" spans="1:45">
      <c r="A167" s="1">
        <v>48</v>
      </c>
      <c r="B167" s="1">
        <v>47</v>
      </c>
      <c r="C167" s="40">
        <f t="shared" si="26"/>
        <v>48</v>
      </c>
      <c r="D167" s="40">
        <f t="shared" si="26"/>
        <v>47</v>
      </c>
      <c r="E167" s="1" t="s">
        <v>818</v>
      </c>
      <c r="F167" s="29" t="s">
        <v>19</v>
      </c>
      <c r="G167" s="29">
        <v>77</v>
      </c>
      <c r="H167" s="27"/>
      <c r="I167" s="27"/>
      <c r="J167" s="27"/>
      <c r="K167" s="27"/>
      <c r="L167" s="27"/>
      <c r="M167" s="32">
        <f t="shared" si="27"/>
        <v>77</v>
      </c>
      <c r="N167" s="32" t="s">
        <v>1330</v>
      </c>
      <c r="O167" s="32"/>
      <c r="P167" s="42">
        <f t="shared" si="28"/>
        <v>76.983900000000006</v>
      </c>
      <c r="Q167" s="32">
        <f t="shared" si="29"/>
        <v>1</v>
      </c>
      <c r="R167" s="32">
        <f t="shared" ca="1" si="30"/>
        <v>0</v>
      </c>
      <c r="S167" s="33" t="s">
        <v>140</v>
      </c>
      <c r="T167" s="34">
        <f t="shared" si="31"/>
        <v>0</v>
      </c>
      <c r="U167" s="34">
        <f t="shared" ca="1" si="32"/>
        <v>0</v>
      </c>
      <c r="V167" s="34">
        <f>-SUMPRODUCT((S$6:S166=S167)*(X$6:X166=X167))</f>
        <v>0</v>
      </c>
      <c r="W167" s="34">
        <f>-SUMPRODUCT((S$6:S166=S167)*(X$6:X166=X167)*(B$6:B166&lt;&gt;"NS"))</f>
        <v>0</v>
      </c>
      <c r="X167" s="35">
        <f t="shared" si="33"/>
        <v>77.076999999999998</v>
      </c>
      <c r="Y167" s="29">
        <v>77</v>
      </c>
      <c r="Z167" s="27"/>
      <c r="AA167" s="27"/>
      <c r="AB167" s="27"/>
      <c r="AC167" s="27"/>
      <c r="AD167" s="27"/>
      <c r="AF167" s="36">
        <v>0</v>
      </c>
      <c r="AG167" s="36">
        <v>0</v>
      </c>
      <c r="AH167" s="36">
        <v>0</v>
      </c>
      <c r="AI167" s="36">
        <v>0</v>
      </c>
      <c r="AJ167" s="37">
        <v>1</v>
      </c>
      <c r="AK167" s="67">
        <v>77.061199999999999</v>
      </c>
      <c r="AL167" s="39">
        <v>77</v>
      </c>
      <c r="AM167" s="32">
        <v>154</v>
      </c>
      <c r="AN167" s="39"/>
      <c r="AO167" s="39"/>
      <c r="AP167" s="39"/>
      <c r="AQ167" s="30"/>
      <c r="AR167" s="26"/>
      <c r="AS167" s="1"/>
    </row>
    <row r="168" spans="1:45">
      <c r="A168" s="1">
        <v>49</v>
      </c>
      <c r="B168" s="1">
        <v>48</v>
      </c>
      <c r="C168" s="40">
        <f t="shared" si="26"/>
        <v>49</v>
      </c>
      <c r="D168" s="40">
        <f t="shared" si="26"/>
        <v>48</v>
      </c>
      <c r="E168" s="1" t="s">
        <v>819</v>
      </c>
      <c r="F168" s="29" t="s">
        <v>66</v>
      </c>
      <c r="G168" s="29">
        <v>61</v>
      </c>
      <c r="H168" s="27"/>
      <c r="I168" s="27"/>
      <c r="J168" s="27"/>
      <c r="K168" s="27"/>
      <c r="L168" s="27"/>
      <c r="M168" s="32">
        <f t="shared" si="27"/>
        <v>61</v>
      </c>
      <c r="N168" s="32" t="s">
        <v>1330</v>
      </c>
      <c r="O168" s="32"/>
      <c r="P168" s="42">
        <f t="shared" si="28"/>
        <v>60.983800000000002</v>
      </c>
      <c r="Q168" s="32">
        <f t="shared" si="29"/>
        <v>1</v>
      </c>
      <c r="R168" s="32">
        <f t="shared" ca="1" si="30"/>
        <v>0</v>
      </c>
      <c r="S168" s="33" t="s">
        <v>140</v>
      </c>
      <c r="T168" s="34">
        <f t="shared" si="31"/>
        <v>0</v>
      </c>
      <c r="U168" s="34">
        <f t="shared" ca="1" si="32"/>
        <v>0</v>
      </c>
      <c r="V168" s="34">
        <f>-SUMPRODUCT((S$6:S167=S168)*(X$6:X167=X168))</f>
        <v>0</v>
      </c>
      <c r="W168" s="34">
        <f>-SUMPRODUCT((S$6:S167=S168)*(X$6:X167=X168)*(B$6:B167&lt;&gt;"NS"))</f>
        <v>0</v>
      </c>
      <c r="X168" s="35">
        <f t="shared" si="33"/>
        <v>61.061</v>
      </c>
      <c r="Y168" s="29">
        <v>61</v>
      </c>
      <c r="Z168" s="27"/>
      <c r="AA168" s="27"/>
      <c r="AB168" s="27"/>
      <c r="AC168" s="27"/>
      <c r="AD168" s="27"/>
      <c r="AF168" s="36">
        <v>0</v>
      </c>
      <c r="AG168" s="36">
        <v>0</v>
      </c>
      <c r="AH168" s="36">
        <v>0</v>
      </c>
      <c r="AI168" s="36">
        <v>0</v>
      </c>
      <c r="AJ168" s="37">
        <v>1</v>
      </c>
      <c r="AK168" s="67">
        <v>61.045099999999998</v>
      </c>
      <c r="AL168" s="39">
        <v>61</v>
      </c>
      <c r="AM168" s="32">
        <v>122</v>
      </c>
      <c r="AN168" s="39"/>
      <c r="AO168" s="39"/>
      <c r="AP168" s="39"/>
      <c r="AQ168" s="30"/>
      <c r="AR168" s="26"/>
      <c r="AS168" s="1"/>
    </row>
    <row r="169" spans="1:45">
      <c r="A169" s="1">
        <v>50</v>
      </c>
      <c r="B169" s="1">
        <v>49</v>
      </c>
      <c r="C169" s="40">
        <f t="shared" si="26"/>
        <v>50</v>
      </c>
      <c r="D169" s="40">
        <f t="shared" si="26"/>
        <v>49</v>
      </c>
      <c r="E169" s="1" t="s">
        <v>820</v>
      </c>
      <c r="F169" s="29" t="s">
        <v>57</v>
      </c>
      <c r="G169" s="29">
        <v>45</v>
      </c>
      <c r="H169" s="27"/>
      <c r="I169" s="27"/>
      <c r="J169" s="27"/>
      <c r="K169" s="27"/>
      <c r="L169" s="27"/>
      <c r="M169" s="32">
        <f t="shared" si="27"/>
        <v>45</v>
      </c>
      <c r="N169" s="32" t="s">
        <v>1330</v>
      </c>
      <c r="O169" s="32"/>
      <c r="P169" s="42">
        <f t="shared" si="28"/>
        <v>44.983699999999999</v>
      </c>
      <c r="Q169" s="32">
        <f t="shared" si="29"/>
        <v>1</v>
      </c>
      <c r="R169" s="32">
        <f t="shared" ca="1" si="30"/>
        <v>0</v>
      </c>
      <c r="S169" s="33" t="s">
        <v>140</v>
      </c>
      <c r="T169" s="34">
        <f t="shared" si="31"/>
        <v>0</v>
      </c>
      <c r="U169" s="34">
        <f t="shared" ca="1" si="32"/>
        <v>0</v>
      </c>
      <c r="V169" s="34">
        <f>-SUMPRODUCT((S$6:S168=S169)*(X$6:X168=X169))</f>
        <v>0</v>
      </c>
      <c r="W169" s="34">
        <f>-SUMPRODUCT((S$6:S168=S169)*(X$6:X168=X169)*(B$6:B168&lt;&gt;"NS"))</f>
        <v>0</v>
      </c>
      <c r="X169" s="35">
        <f t="shared" si="33"/>
        <v>45.045000000000002</v>
      </c>
      <c r="Y169" s="29">
        <v>45</v>
      </c>
      <c r="Z169" s="27"/>
      <c r="AA169" s="27"/>
      <c r="AB169" s="27"/>
      <c r="AC169" s="27"/>
      <c r="AD169" s="27"/>
      <c r="AF169" s="36">
        <v>0</v>
      </c>
      <c r="AG169" s="36">
        <v>0</v>
      </c>
      <c r="AH169" s="36">
        <v>0</v>
      </c>
      <c r="AI169" s="36">
        <v>0</v>
      </c>
      <c r="AJ169" s="37">
        <v>1</v>
      </c>
      <c r="AK169" s="67">
        <v>45.0289</v>
      </c>
      <c r="AL169" s="39">
        <v>45</v>
      </c>
      <c r="AM169" s="32">
        <v>90</v>
      </c>
      <c r="AN169" s="39"/>
      <c r="AO169" s="39"/>
      <c r="AP169" s="39"/>
      <c r="AQ169" s="30"/>
      <c r="AR169" s="26"/>
      <c r="AS169" s="1"/>
    </row>
    <row r="170" spans="1:45">
      <c r="A170" s="1">
        <v>51</v>
      </c>
      <c r="B170" s="1">
        <v>50</v>
      </c>
      <c r="C170" s="40">
        <f t="shared" si="26"/>
        <v>51</v>
      </c>
      <c r="D170" s="40">
        <f t="shared" si="26"/>
        <v>50</v>
      </c>
      <c r="E170" s="1" t="s">
        <v>821</v>
      </c>
      <c r="F170" s="29" t="s">
        <v>84</v>
      </c>
      <c r="G170" s="29">
        <v>37</v>
      </c>
      <c r="H170" s="27"/>
      <c r="I170" s="27"/>
      <c r="J170" s="27"/>
      <c r="K170" s="27"/>
      <c r="L170" s="27"/>
      <c r="M170" s="32">
        <f t="shared" si="27"/>
        <v>37</v>
      </c>
      <c r="N170" s="32" t="s">
        <v>1330</v>
      </c>
      <c r="O170" s="32"/>
      <c r="P170" s="42">
        <f t="shared" si="28"/>
        <v>36.983600000000003</v>
      </c>
      <c r="Q170" s="32">
        <f t="shared" si="29"/>
        <v>1</v>
      </c>
      <c r="R170" s="32">
        <f t="shared" ca="1" si="30"/>
        <v>0</v>
      </c>
      <c r="S170" s="33" t="s">
        <v>140</v>
      </c>
      <c r="T170" s="34">
        <f t="shared" si="31"/>
        <v>0</v>
      </c>
      <c r="U170" s="34">
        <f t="shared" ca="1" si="32"/>
        <v>0</v>
      </c>
      <c r="V170" s="34">
        <f>-SUMPRODUCT((S$6:S169=S170)*(X$6:X169=X170))</f>
        <v>0</v>
      </c>
      <c r="W170" s="34">
        <f>-SUMPRODUCT((S$6:S169=S170)*(X$6:X169=X170)*(B$6:B169&lt;&gt;"NS"))</f>
        <v>0</v>
      </c>
      <c r="X170" s="35">
        <f t="shared" si="33"/>
        <v>37.036999999999999</v>
      </c>
      <c r="Y170" s="29">
        <v>37</v>
      </c>
      <c r="Z170" s="27"/>
      <c r="AA170" s="27"/>
      <c r="AB170" s="27"/>
      <c r="AC170" s="27"/>
      <c r="AD170" s="27"/>
      <c r="AF170" s="36">
        <v>0</v>
      </c>
      <c r="AG170" s="36">
        <v>0</v>
      </c>
      <c r="AH170" s="36">
        <v>0</v>
      </c>
      <c r="AI170" s="36">
        <v>0</v>
      </c>
      <c r="AJ170" s="37">
        <v>1</v>
      </c>
      <c r="AK170" s="67">
        <v>37.020800000000001</v>
      </c>
      <c r="AL170" s="39">
        <v>37</v>
      </c>
      <c r="AM170" s="32">
        <v>74</v>
      </c>
      <c r="AN170" s="39"/>
      <c r="AO170" s="39"/>
      <c r="AP170" s="39"/>
      <c r="AQ170" s="30"/>
      <c r="AR170" s="26"/>
      <c r="AS170" s="1"/>
    </row>
    <row r="171" spans="1:45">
      <c r="A171" s="1">
        <v>52</v>
      </c>
      <c r="B171" s="1">
        <v>51</v>
      </c>
      <c r="C171" s="40">
        <f t="shared" si="26"/>
        <v>52</v>
      </c>
      <c r="D171" s="40">
        <f t="shared" si="26"/>
        <v>51</v>
      </c>
      <c r="E171" s="1" t="s">
        <v>822</v>
      </c>
      <c r="F171" s="29" t="s">
        <v>66</v>
      </c>
      <c r="G171" s="29">
        <v>35</v>
      </c>
      <c r="H171" s="27"/>
      <c r="I171" s="27"/>
      <c r="J171" s="27"/>
      <c r="K171" s="27"/>
      <c r="L171" s="27"/>
      <c r="M171" s="32">
        <f t="shared" si="27"/>
        <v>35</v>
      </c>
      <c r="N171" s="32" t="s">
        <v>1330</v>
      </c>
      <c r="O171" s="32"/>
      <c r="P171" s="42">
        <f t="shared" si="28"/>
        <v>34.983499999999999</v>
      </c>
      <c r="Q171" s="32">
        <f t="shared" si="29"/>
        <v>1</v>
      </c>
      <c r="R171" s="32">
        <f t="shared" ca="1" si="30"/>
        <v>0</v>
      </c>
      <c r="S171" s="33" t="s">
        <v>140</v>
      </c>
      <c r="T171" s="34">
        <f t="shared" si="31"/>
        <v>0</v>
      </c>
      <c r="U171" s="34">
        <f t="shared" ca="1" si="32"/>
        <v>0</v>
      </c>
      <c r="V171" s="34">
        <f>-SUMPRODUCT((S$6:S170=S171)*(X$6:X170=X171))</f>
        <v>0</v>
      </c>
      <c r="W171" s="34">
        <f>-SUMPRODUCT((S$6:S170=S171)*(X$6:X170=X171)*(B$6:B170&lt;&gt;"NS"))</f>
        <v>0</v>
      </c>
      <c r="X171" s="35">
        <f t="shared" si="33"/>
        <v>35.034999999999997</v>
      </c>
      <c r="Y171" s="29">
        <v>35</v>
      </c>
      <c r="Z171" s="27"/>
      <c r="AA171" s="27"/>
      <c r="AB171" s="27"/>
      <c r="AC171" s="27"/>
      <c r="AD171" s="27"/>
      <c r="AF171" s="36">
        <v>0</v>
      </c>
      <c r="AG171" s="36">
        <v>0</v>
      </c>
      <c r="AH171" s="36">
        <v>0</v>
      </c>
      <c r="AI171" s="36">
        <v>0</v>
      </c>
      <c r="AJ171" s="37">
        <v>1</v>
      </c>
      <c r="AK171" s="67">
        <v>35.018699999999995</v>
      </c>
      <c r="AL171" s="39">
        <v>35</v>
      </c>
      <c r="AM171" s="32">
        <v>70</v>
      </c>
      <c r="AN171" s="39"/>
      <c r="AO171" s="39"/>
      <c r="AP171" s="39"/>
      <c r="AQ171" s="30"/>
      <c r="AR171" s="26"/>
      <c r="AS171" s="1"/>
    </row>
    <row r="172" spans="1:45">
      <c r="A172" s="1">
        <v>53</v>
      </c>
      <c r="B172" s="1">
        <v>52</v>
      </c>
      <c r="C172" s="40">
        <f t="shared" si="26"/>
        <v>53</v>
      </c>
      <c r="D172" s="40">
        <f t="shared" si="26"/>
        <v>52</v>
      </c>
      <c r="E172" s="1" t="s">
        <v>823</v>
      </c>
      <c r="F172" s="29" t="s">
        <v>29</v>
      </c>
      <c r="G172" s="29">
        <v>19</v>
      </c>
      <c r="H172" s="27"/>
      <c r="I172" s="27"/>
      <c r="J172" s="27"/>
      <c r="K172" s="27"/>
      <c r="L172" s="27"/>
      <c r="M172" s="32">
        <f t="shared" si="27"/>
        <v>19</v>
      </c>
      <c r="N172" s="32" t="s">
        <v>1330</v>
      </c>
      <c r="O172" s="32"/>
      <c r="P172" s="42">
        <f t="shared" si="28"/>
        <v>18.9834</v>
      </c>
      <c r="Q172" s="32">
        <f t="shared" si="29"/>
        <v>1</v>
      </c>
      <c r="R172" s="32">
        <f t="shared" ca="1" si="30"/>
        <v>0</v>
      </c>
      <c r="S172" s="33" t="s">
        <v>140</v>
      </c>
      <c r="T172" s="34">
        <f t="shared" si="31"/>
        <v>0</v>
      </c>
      <c r="U172" s="34">
        <f t="shared" ca="1" si="32"/>
        <v>0</v>
      </c>
      <c r="V172" s="34">
        <f>-SUMPRODUCT((S$6:S171=S172)*(X$6:X171=X172))</f>
        <v>0</v>
      </c>
      <c r="W172" s="34">
        <f>-SUMPRODUCT((S$6:S171=S172)*(X$6:X171=X172)*(B$6:B171&lt;&gt;"NS"))</f>
        <v>0</v>
      </c>
      <c r="X172" s="35">
        <f t="shared" si="33"/>
        <v>19.018999999999998</v>
      </c>
      <c r="Y172" s="29">
        <v>19</v>
      </c>
      <c r="Z172" s="27"/>
      <c r="AA172" s="27"/>
      <c r="AB172" s="27"/>
      <c r="AC172" s="27"/>
      <c r="AD172" s="27"/>
      <c r="AF172" s="36">
        <v>0</v>
      </c>
      <c r="AG172" s="36">
        <v>0</v>
      </c>
      <c r="AH172" s="36">
        <v>0</v>
      </c>
      <c r="AI172" s="36">
        <v>0</v>
      </c>
      <c r="AJ172" s="37">
        <v>1</v>
      </c>
      <c r="AK172" s="67">
        <v>19.002599999999997</v>
      </c>
      <c r="AL172" s="39">
        <v>19</v>
      </c>
      <c r="AM172" s="32">
        <v>38</v>
      </c>
      <c r="AN172" s="39"/>
      <c r="AO172" s="39"/>
      <c r="AP172" s="39"/>
      <c r="AQ172" s="30"/>
      <c r="AR172" s="26"/>
      <c r="AS172" s="1"/>
    </row>
    <row r="173" spans="1:45">
      <c r="A173" s="1">
        <v>54</v>
      </c>
      <c r="B173" s="1">
        <v>53</v>
      </c>
      <c r="C173" s="40">
        <f t="shared" si="26"/>
        <v>54</v>
      </c>
      <c r="D173" s="40">
        <f t="shared" si="26"/>
        <v>53</v>
      </c>
      <c r="E173" s="1" t="s">
        <v>824</v>
      </c>
      <c r="F173" s="29" t="s">
        <v>29</v>
      </c>
      <c r="G173" s="29">
        <v>18</v>
      </c>
      <c r="H173" s="27"/>
      <c r="I173" s="27"/>
      <c r="J173" s="27"/>
      <c r="K173" s="27"/>
      <c r="L173" s="27"/>
      <c r="M173" s="32">
        <f t="shared" si="27"/>
        <v>18</v>
      </c>
      <c r="N173" s="32" t="s">
        <v>1330</v>
      </c>
      <c r="O173" s="32"/>
      <c r="P173" s="42">
        <f t="shared" si="28"/>
        <v>17.9833</v>
      </c>
      <c r="Q173" s="32">
        <f t="shared" si="29"/>
        <v>1</v>
      </c>
      <c r="R173" s="32">
        <f t="shared" ca="1" si="30"/>
        <v>0</v>
      </c>
      <c r="S173" s="33" t="s">
        <v>140</v>
      </c>
      <c r="T173" s="34">
        <f t="shared" si="31"/>
        <v>0</v>
      </c>
      <c r="U173" s="34">
        <f t="shared" ca="1" si="32"/>
        <v>0</v>
      </c>
      <c r="V173" s="34">
        <f>-SUMPRODUCT((S$6:S172=S173)*(X$6:X172=X173))</f>
        <v>0</v>
      </c>
      <c r="W173" s="34">
        <f>-SUMPRODUCT((S$6:S172=S173)*(X$6:X172=X173)*(B$6:B172&lt;&gt;"NS"))</f>
        <v>0</v>
      </c>
      <c r="X173" s="35">
        <f t="shared" si="33"/>
        <v>18.018000000000001</v>
      </c>
      <c r="Y173" s="29">
        <v>18</v>
      </c>
      <c r="Z173" s="27"/>
      <c r="AA173" s="27"/>
      <c r="AB173" s="27"/>
      <c r="AC173" s="27"/>
      <c r="AD173" s="27"/>
      <c r="AF173" s="36">
        <v>0</v>
      </c>
      <c r="AG173" s="36">
        <v>0</v>
      </c>
      <c r="AH173" s="36">
        <v>0</v>
      </c>
      <c r="AI173" s="36">
        <v>0</v>
      </c>
      <c r="AJ173" s="37">
        <v>1</v>
      </c>
      <c r="AK173" s="67">
        <v>18.0015</v>
      </c>
      <c r="AL173" s="39">
        <v>18</v>
      </c>
      <c r="AM173" s="32">
        <v>36</v>
      </c>
      <c r="AN173" s="39"/>
      <c r="AO173" s="39"/>
      <c r="AP173" s="39"/>
      <c r="AQ173" s="30"/>
      <c r="AR173" s="26"/>
      <c r="AS173" s="1"/>
    </row>
    <row r="174" spans="1:45" ht="3" customHeight="1">
      <c r="F174" s="52"/>
      <c r="G174" s="52"/>
      <c r="H174" s="52"/>
      <c r="I174" s="52"/>
      <c r="J174" s="52"/>
      <c r="K174" s="52"/>
      <c r="L174" s="52"/>
      <c r="M174" s="32"/>
      <c r="N174" s="27"/>
      <c r="O174" s="27"/>
      <c r="P174" s="42"/>
      <c r="Q174" s="27"/>
      <c r="R174" s="27"/>
      <c r="T174" s="59"/>
      <c r="U174" s="59"/>
      <c r="V174" s="59"/>
      <c r="W174" s="59"/>
      <c r="X174" s="34"/>
      <c r="Y174" s="52"/>
      <c r="Z174" s="52"/>
      <c r="AA174" s="52"/>
      <c r="AB174" s="52"/>
      <c r="AC174" s="52"/>
      <c r="AD174" s="52"/>
      <c r="AJ174" s="63"/>
      <c r="AK174" s="63"/>
      <c r="AM174" s="26"/>
      <c r="AN174" s="39"/>
      <c r="AO174" s="39"/>
      <c r="AP174" s="39"/>
      <c r="AQ174" s="30"/>
      <c r="AR174" s="26"/>
      <c r="AS174" s="1"/>
    </row>
    <row r="175" spans="1:45">
      <c r="F175" s="27"/>
      <c r="G175" s="27"/>
      <c r="H175" s="27"/>
      <c r="I175" s="27"/>
      <c r="J175" s="27"/>
      <c r="K175" s="27"/>
      <c r="L175" s="27"/>
      <c r="M175" s="32"/>
      <c r="N175" s="27"/>
      <c r="O175" s="27"/>
      <c r="P175" s="42"/>
      <c r="Q175" s="27"/>
      <c r="R175" s="27"/>
      <c r="T175" s="62"/>
      <c r="U175" s="62"/>
      <c r="V175" s="62"/>
      <c r="W175" s="62"/>
      <c r="X175" s="34"/>
      <c r="Y175" s="27"/>
      <c r="Z175" s="27"/>
      <c r="AA175" s="27"/>
      <c r="AB175" s="27"/>
      <c r="AC175" s="27"/>
      <c r="AD175" s="27"/>
      <c r="AJ175" s="63"/>
      <c r="AK175" s="63"/>
      <c r="AM175" s="26"/>
      <c r="AN175" s="39"/>
      <c r="AO175" s="39"/>
      <c r="AP175" s="39"/>
      <c r="AQ175" s="30"/>
      <c r="AR175" s="26"/>
      <c r="AS175" s="1"/>
    </row>
    <row r="176" spans="1:45" ht="15">
      <c r="A176" s="60"/>
      <c r="B176" s="60"/>
      <c r="C176" s="60"/>
      <c r="D176" s="60"/>
      <c r="E176" s="26" t="s">
        <v>180</v>
      </c>
      <c r="F176" s="27"/>
      <c r="G176" s="27"/>
      <c r="H176" s="27"/>
      <c r="I176" s="27"/>
      <c r="J176" s="27"/>
      <c r="K176" s="27"/>
      <c r="L176" s="27"/>
      <c r="M176" s="32"/>
      <c r="N176" s="27"/>
      <c r="O176" s="27"/>
      <c r="P176" s="42"/>
      <c r="Q176" s="27"/>
      <c r="R176" s="27"/>
      <c r="S176" s="52" t="str">
        <f>E176</f>
        <v>F50</v>
      </c>
      <c r="T176" s="59"/>
      <c r="U176" s="59"/>
      <c r="V176" s="59"/>
      <c r="W176" s="59"/>
      <c r="X176" s="34"/>
      <c r="Y176" s="27"/>
      <c r="Z176" s="52"/>
      <c r="AA176" s="52"/>
      <c r="AB176" s="52"/>
      <c r="AC176" s="52"/>
      <c r="AD176" s="52"/>
      <c r="AJ176" s="63"/>
      <c r="AK176" s="63"/>
      <c r="AM176" s="26"/>
      <c r="AN176" s="39">
        <v>530</v>
      </c>
      <c r="AO176" s="39">
        <v>522</v>
      </c>
      <c r="AP176" s="39">
        <v>519</v>
      </c>
      <c r="AQ176" s="30"/>
      <c r="AR176" s="26"/>
      <c r="AS176" s="1"/>
    </row>
    <row r="177" spans="1:45" ht="15">
      <c r="A177" s="61">
        <v>1</v>
      </c>
      <c r="B177" s="61">
        <v>1</v>
      </c>
      <c r="C177" s="40">
        <f t="shared" ref="C177:D224" si="34">IF(OR(V177&lt;0,V178&lt;0),"="&amp;A177+V177&amp;" ",A177)</f>
        <v>1</v>
      </c>
      <c r="D177" s="40">
        <f t="shared" si="34"/>
        <v>1</v>
      </c>
      <c r="E177" s="1" t="s">
        <v>187</v>
      </c>
      <c r="F177" s="29" t="s">
        <v>47</v>
      </c>
      <c r="G177" s="29">
        <v>169</v>
      </c>
      <c r="H177" s="27">
        <v>181</v>
      </c>
      <c r="I177" s="27">
        <v>180</v>
      </c>
      <c r="J177" s="27">
        <v>157</v>
      </c>
      <c r="K177" s="27">
        <v>186</v>
      </c>
      <c r="L177" s="27"/>
      <c r="M177" s="32">
        <f t="shared" ref="M177:M224" si="35">IFERROR(LARGE(G177:L177,1),0)+IF($F$5&gt;=2,IFERROR(LARGE(G177:L177,2),0),0)+IF($F$5&gt;=3,IFERROR(LARGE(G177:L177,3),0),0)+IF($F$5&gt;=4,IFERROR(LARGE(G177:L177,4),0),0)+IF($F$5&gt;=5,IFERROR(LARGE(G177:L177,5),0),0)+IF($F$5&gt;=6,IFERROR(LARGE(G177:L177,6),0),0)</f>
        <v>547</v>
      </c>
      <c r="N177" s="32" t="s">
        <v>1330</v>
      </c>
      <c r="O177" s="32" t="s">
        <v>130</v>
      </c>
      <c r="P177" s="42">
        <f t="shared" ref="P177:P224" si="36">M177-(ROW(M177)-ROW(M$6))/10000</f>
        <v>546.98289999999997</v>
      </c>
      <c r="Q177" s="32">
        <f t="shared" ref="Q177:Q224" si="37">COUNT(G177:L177)</f>
        <v>5</v>
      </c>
      <c r="R177" s="32">
        <f t="shared" ref="R177:R224" ca="1" si="38">IF(AND(Q177=1,OFFSET(F177,0,R$3)&gt;0),"Y",0)</f>
        <v>0</v>
      </c>
      <c r="S177" s="33" t="s">
        <v>180</v>
      </c>
      <c r="T177" s="34">
        <f t="shared" ref="T177:T224" si="39">1-(S177=S176)</f>
        <v>0</v>
      </c>
      <c r="U177" s="34">
        <f t="shared" ref="U177:U224" ca="1" si="40">OFFSET(F177,0,$R$3)</f>
        <v>186</v>
      </c>
      <c r="V177" s="34">
        <f>-SUMPRODUCT((S$6:S176=S177)*(X$6:X176=X177))</f>
        <v>0</v>
      </c>
      <c r="W177" s="34">
        <f>-SUMPRODUCT((S$6:S176=S177)*(X$6:X176=X177)*(B$6:B176&lt;&gt;"NS"))</f>
        <v>0</v>
      </c>
      <c r="X177" s="35">
        <f t="shared" ref="X177:X224" si="41">M177+SUMPRODUCT(Y$4:AD$4,Y177:AD177)</f>
        <v>547.20590000000004</v>
      </c>
      <c r="Y177" s="27">
        <v>186</v>
      </c>
      <c r="Z177" s="27">
        <v>181</v>
      </c>
      <c r="AA177" s="27">
        <v>180</v>
      </c>
      <c r="AB177" s="29">
        <v>169</v>
      </c>
      <c r="AC177" s="27">
        <v>157</v>
      </c>
      <c r="AD177" s="27"/>
      <c r="AF177" s="36">
        <v>0</v>
      </c>
      <c r="AG177" s="36">
        <v>0</v>
      </c>
      <c r="AH177" s="36">
        <v>0</v>
      </c>
      <c r="AI177" s="36">
        <v>0</v>
      </c>
      <c r="AJ177" s="37">
        <v>4</v>
      </c>
      <c r="AK177" s="67">
        <v>530.17215699999997</v>
      </c>
      <c r="AL177" s="39">
        <v>181</v>
      </c>
      <c r="AM177" s="32">
        <v>542</v>
      </c>
      <c r="AN177" s="39" t="s">
        <v>130</v>
      </c>
      <c r="AO177" s="39" t="s">
        <v>247</v>
      </c>
      <c r="AP177" s="39" t="s">
        <v>825</v>
      </c>
      <c r="AQ177" s="30"/>
      <c r="AR177" s="26"/>
      <c r="AS177" s="1"/>
    </row>
    <row r="178" spans="1:45" ht="15">
      <c r="A178" s="61">
        <v>2</v>
      </c>
      <c r="B178" s="61">
        <v>2</v>
      </c>
      <c r="C178" s="40">
        <f t="shared" si="34"/>
        <v>2</v>
      </c>
      <c r="D178" s="40">
        <f t="shared" si="34"/>
        <v>2</v>
      </c>
      <c r="E178" s="1" t="s">
        <v>179</v>
      </c>
      <c r="F178" s="29" t="s">
        <v>57</v>
      </c>
      <c r="G178" s="29">
        <v>171</v>
      </c>
      <c r="H178" s="27">
        <v>167</v>
      </c>
      <c r="I178" s="27">
        <v>172</v>
      </c>
      <c r="J178" s="27">
        <v>179</v>
      </c>
      <c r="K178" s="27">
        <v>187</v>
      </c>
      <c r="L178" s="27"/>
      <c r="M178" s="32">
        <f t="shared" si="35"/>
        <v>538</v>
      </c>
      <c r="N178" s="32" t="s">
        <v>1330</v>
      </c>
      <c r="O178" s="32" t="s">
        <v>247</v>
      </c>
      <c r="P178" s="42">
        <f t="shared" si="36"/>
        <v>537.9828</v>
      </c>
      <c r="Q178" s="32">
        <f t="shared" si="37"/>
        <v>5</v>
      </c>
      <c r="R178" s="32">
        <f t="shared" ca="1" si="38"/>
        <v>0</v>
      </c>
      <c r="S178" s="33" t="s">
        <v>180</v>
      </c>
      <c r="T178" s="34">
        <f t="shared" si="39"/>
        <v>0</v>
      </c>
      <c r="U178" s="34">
        <f t="shared" ca="1" si="40"/>
        <v>187</v>
      </c>
      <c r="V178" s="34">
        <f>-SUMPRODUCT((S$6:S177=S178)*(X$6:X177=X178))</f>
        <v>0</v>
      </c>
      <c r="W178" s="34">
        <f>-SUMPRODUCT((S$6:S177=S178)*(X$6:X177=X178)*(B$6:B177&lt;&gt;"NS"))</f>
        <v>0</v>
      </c>
      <c r="X178" s="35">
        <f t="shared" si="41"/>
        <v>538.20662000000004</v>
      </c>
      <c r="Y178" s="27">
        <v>187</v>
      </c>
      <c r="Z178" s="27">
        <v>179</v>
      </c>
      <c r="AA178" s="27">
        <v>172</v>
      </c>
      <c r="AB178" s="29">
        <v>171</v>
      </c>
      <c r="AC178" s="27">
        <v>167</v>
      </c>
      <c r="AD178" s="27"/>
      <c r="AF178" s="36">
        <v>0</v>
      </c>
      <c r="AG178" s="36">
        <v>0</v>
      </c>
      <c r="AH178" s="36">
        <v>0</v>
      </c>
      <c r="AI178" s="36">
        <v>0</v>
      </c>
      <c r="AJ178" s="37">
        <v>4</v>
      </c>
      <c r="AK178" s="67">
        <v>522.17266200000006</v>
      </c>
      <c r="AL178" s="39">
        <v>179</v>
      </c>
      <c r="AM178" s="32">
        <v>530</v>
      </c>
      <c r="AN178" s="39" t="s">
        <v>130</v>
      </c>
      <c r="AO178" s="39" t="s">
        <v>247</v>
      </c>
      <c r="AP178" s="39" t="s">
        <v>825</v>
      </c>
      <c r="AQ178" s="30"/>
      <c r="AR178" s="26"/>
      <c r="AS178" s="1"/>
    </row>
    <row r="179" spans="1:45" ht="15">
      <c r="A179" s="61">
        <v>3</v>
      </c>
      <c r="B179" s="61">
        <v>3</v>
      </c>
      <c r="C179" s="40">
        <f t="shared" si="34"/>
        <v>3</v>
      </c>
      <c r="D179" s="40">
        <f t="shared" si="34"/>
        <v>3</v>
      </c>
      <c r="E179" s="1" t="s">
        <v>826</v>
      </c>
      <c r="F179" s="29" t="s">
        <v>162</v>
      </c>
      <c r="G179" s="29">
        <v>166</v>
      </c>
      <c r="H179" s="27">
        <v>176</v>
      </c>
      <c r="I179" s="27">
        <v>177</v>
      </c>
      <c r="J179" s="27"/>
      <c r="K179" s="27"/>
      <c r="L179" s="27"/>
      <c r="M179" s="32">
        <f t="shared" si="35"/>
        <v>519</v>
      </c>
      <c r="N179" s="32" t="s">
        <v>1330</v>
      </c>
      <c r="O179" s="32" t="s">
        <v>825</v>
      </c>
      <c r="P179" s="42">
        <f t="shared" si="36"/>
        <v>518.98270000000002</v>
      </c>
      <c r="Q179" s="32">
        <f t="shared" si="37"/>
        <v>3</v>
      </c>
      <c r="R179" s="32">
        <f t="shared" ca="1" si="38"/>
        <v>0</v>
      </c>
      <c r="S179" s="33" t="s">
        <v>180</v>
      </c>
      <c r="T179" s="34">
        <f t="shared" si="39"/>
        <v>0</v>
      </c>
      <c r="U179" s="34">
        <f t="shared" ca="1" si="40"/>
        <v>0</v>
      </c>
      <c r="V179" s="34">
        <f>-SUMPRODUCT((S$6:S178=S179)*(X$6:X178=X179))</f>
        <v>0</v>
      </c>
      <c r="W179" s="34">
        <f>-SUMPRODUCT((S$6:S178=S179)*(X$6:X178=X179)*(B$6:B178&lt;&gt;"NS"))</f>
        <v>0</v>
      </c>
      <c r="X179" s="35">
        <f t="shared" si="41"/>
        <v>519.19626000000005</v>
      </c>
      <c r="Y179" s="27">
        <v>177</v>
      </c>
      <c r="Z179" s="27">
        <v>176</v>
      </c>
      <c r="AA179" s="29">
        <v>166</v>
      </c>
      <c r="AB179" s="27"/>
      <c r="AC179" s="27"/>
      <c r="AD179" s="27"/>
      <c r="AF179" s="36">
        <v>0</v>
      </c>
      <c r="AG179" s="36">
        <v>0</v>
      </c>
      <c r="AH179" s="36">
        <v>0</v>
      </c>
      <c r="AI179" s="36">
        <v>0</v>
      </c>
      <c r="AJ179" s="37">
        <v>3</v>
      </c>
      <c r="AK179" s="67">
        <v>519.16827000000001</v>
      </c>
      <c r="AL179" s="39">
        <v>177</v>
      </c>
      <c r="AM179" s="32">
        <v>530</v>
      </c>
      <c r="AN179" s="39" t="s">
        <v>130</v>
      </c>
      <c r="AO179" s="39" t="s">
        <v>247</v>
      </c>
      <c r="AP179" s="39" t="s">
        <v>825</v>
      </c>
      <c r="AQ179" s="30"/>
      <c r="AR179" s="26"/>
      <c r="AS179" s="1"/>
    </row>
    <row r="180" spans="1:45" ht="15">
      <c r="A180" s="61">
        <v>4</v>
      </c>
      <c r="B180" s="61">
        <v>4</v>
      </c>
      <c r="C180" s="40">
        <f t="shared" si="34"/>
        <v>4</v>
      </c>
      <c r="D180" s="40">
        <f t="shared" si="34"/>
        <v>4</v>
      </c>
      <c r="E180" s="1" t="s">
        <v>213</v>
      </c>
      <c r="F180" s="29" t="s">
        <v>53</v>
      </c>
      <c r="G180" s="29">
        <v>136</v>
      </c>
      <c r="H180" s="27">
        <v>166</v>
      </c>
      <c r="I180" s="27">
        <v>160</v>
      </c>
      <c r="J180" s="27"/>
      <c r="K180" s="27">
        <v>180</v>
      </c>
      <c r="L180" s="27"/>
      <c r="M180" s="32">
        <f t="shared" si="35"/>
        <v>506</v>
      </c>
      <c r="N180" s="32" t="s">
        <v>1330</v>
      </c>
      <c r="O180" s="32"/>
      <c r="P180" s="42">
        <f t="shared" si="36"/>
        <v>505.98259999999999</v>
      </c>
      <c r="Q180" s="32">
        <f t="shared" si="37"/>
        <v>4</v>
      </c>
      <c r="R180" s="32">
        <f t="shared" ca="1" si="38"/>
        <v>0</v>
      </c>
      <c r="S180" s="33" t="s">
        <v>180</v>
      </c>
      <c r="T180" s="34">
        <f t="shared" si="39"/>
        <v>0</v>
      </c>
      <c r="U180" s="34">
        <f t="shared" ca="1" si="40"/>
        <v>180</v>
      </c>
      <c r="V180" s="34">
        <f>-SUMPRODUCT((S$6:S179=S180)*(X$6:X179=X180))</f>
        <v>0</v>
      </c>
      <c r="W180" s="34">
        <f>-SUMPRODUCT((S$6:S179=S180)*(X$6:X179=X180)*(B$6:B179&lt;&gt;"NS"))</f>
        <v>0</v>
      </c>
      <c r="X180" s="35">
        <f t="shared" si="41"/>
        <v>506.19819999999999</v>
      </c>
      <c r="Y180" s="27">
        <v>180</v>
      </c>
      <c r="Z180" s="27">
        <v>166</v>
      </c>
      <c r="AA180" s="27">
        <v>160</v>
      </c>
      <c r="AB180" s="29">
        <v>136</v>
      </c>
      <c r="AC180" s="27"/>
      <c r="AD180" s="27"/>
      <c r="AF180" s="36">
        <v>0</v>
      </c>
      <c r="AG180" s="36">
        <v>0</v>
      </c>
      <c r="AH180" s="36">
        <v>0</v>
      </c>
      <c r="AI180" s="36">
        <v>0</v>
      </c>
      <c r="AJ180" s="37">
        <v>3</v>
      </c>
      <c r="AK180" s="67">
        <v>462.13679999999999</v>
      </c>
      <c r="AL180" s="39">
        <v>166</v>
      </c>
      <c r="AM180" s="32">
        <v>492</v>
      </c>
      <c r="AN180" s="39"/>
      <c r="AO180" s="39"/>
      <c r="AP180" s="39"/>
      <c r="AQ180" s="30"/>
      <c r="AR180" s="26"/>
      <c r="AS180" s="1"/>
    </row>
    <row r="181" spans="1:45" ht="15">
      <c r="A181" s="61">
        <v>5</v>
      </c>
      <c r="B181" s="61">
        <v>5</v>
      </c>
      <c r="C181" s="40">
        <f t="shared" si="34"/>
        <v>5</v>
      </c>
      <c r="D181" s="40">
        <f t="shared" si="34"/>
        <v>5</v>
      </c>
      <c r="E181" s="1" t="s">
        <v>221</v>
      </c>
      <c r="F181" s="29" t="s">
        <v>66</v>
      </c>
      <c r="G181" s="29"/>
      <c r="H181" s="27">
        <v>155</v>
      </c>
      <c r="I181" s="27">
        <v>161</v>
      </c>
      <c r="J181" s="27"/>
      <c r="K181" s="27">
        <v>178</v>
      </c>
      <c r="L181" s="27"/>
      <c r="M181" s="32">
        <f t="shared" si="35"/>
        <v>494</v>
      </c>
      <c r="N181" s="32" t="s">
        <v>1330</v>
      </c>
      <c r="O181" s="32"/>
      <c r="P181" s="42">
        <f t="shared" si="36"/>
        <v>493.98250000000002</v>
      </c>
      <c r="Q181" s="32">
        <f t="shared" si="37"/>
        <v>3</v>
      </c>
      <c r="R181" s="32">
        <f t="shared" ca="1" si="38"/>
        <v>0</v>
      </c>
      <c r="S181" s="33" t="s">
        <v>180</v>
      </c>
      <c r="T181" s="34">
        <f t="shared" si="39"/>
        <v>0</v>
      </c>
      <c r="U181" s="34">
        <f t="shared" ca="1" si="40"/>
        <v>178</v>
      </c>
      <c r="V181" s="34">
        <f>-SUMPRODUCT((S$6:S180=S181)*(X$6:X180=X181))</f>
        <v>0</v>
      </c>
      <c r="W181" s="34">
        <f>-SUMPRODUCT((S$6:S180=S181)*(X$6:X180=X181)*(B$6:B180&lt;&gt;"NS"))</f>
        <v>0</v>
      </c>
      <c r="X181" s="35">
        <f t="shared" si="41"/>
        <v>494.19565</v>
      </c>
      <c r="Y181" s="27">
        <v>178</v>
      </c>
      <c r="Z181" s="27">
        <v>161</v>
      </c>
      <c r="AA181" s="27">
        <v>155</v>
      </c>
      <c r="AB181" s="29"/>
      <c r="AC181" s="27"/>
      <c r="AD181" s="27"/>
      <c r="AF181" s="36">
        <v>0</v>
      </c>
      <c r="AG181" s="36">
        <v>0</v>
      </c>
      <c r="AH181" s="36">
        <v>0</v>
      </c>
      <c r="AI181" s="36">
        <v>0</v>
      </c>
      <c r="AJ181" s="37">
        <v>2</v>
      </c>
      <c r="AK181" s="67">
        <v>315.99901</v>
      </c>
      <c r="AL181" s="39">
        <v>161</v>
      </c>
      <c r="AM181" s="32">
        <v>477</v>
      </c>
      <c r="AN181" s="39"/>
      <c r="AO181" s="39"/>
      <c r="AP181" s="39"/>
      <c r="AQ181" s="30"/>
      <c r="AR181" s="26"/>
      <c r="AS181" s="1"/>
    </row>
    <row r="182" spans="1:45" ht="15">
      <c r="A182" s="61">
        <v>6</v>
      </c>
      <c r="B182" s="61">
        <v>6</v>
      </c>
      <c r="C182" s="40">
        <f t="shared" si="34"/>
        <v>6</v>
      </c>
      <c r="D182" s="40">
        <f t="shared" si="34"/>
        <v>6</v>
      </c>
      <c r="E182" s="1" t="s">
        <v>827</v>
      </c>
      <c r="F182" s="29" t="s">
        <v>66</v>
      </c>
      <c r="G182" s="29">
        <v>152</v>
      </c>
      <c r="H182" s="27">
        <v>154</v>
      </c>
      <c r="I182" s="27">
        <v>162</v>
      </c>
      <c r="J182" s="27"/>
      <c r="K182" s="27"/>
      <c r="L182" s="27"/>
      <c r="M182" s="32">
        <f t="shared" si="35"/>
        <v>468</v>
      </c>
      <c r="N182" s="32" t="s">
        <v>1330</v>
      </c>
      <c r="O182" s="32"/>
      <c r="P182" s="42">
        <f t="shared" si="36"/>
        <v>467.98239999999998</v>
      </c>
      <c r="Q182" s="32">
        <f t="shared" si="37"/>
        <v>3</v>
      </c>
      <c r="R182" s="32">
        <f t="shared" ca="1" si="38"/>
        <v>0</v>
      </c>
      <c r="S182" s="33" t="s">
        <v>180</v>
      </c>
      <c r="T182" s="34">
        <f t="shared" si="39"/>
        <v>0</v>
      </c>
      <c r="U182" s="34">
        <f t="shared" ca="1" si="40"/>
        <v>0</v>
      </c>
      <c r="V182" s="34">
        <f>-SUMPRODUCT((S$6:S181=S182)*(X$6:X181=X182))</f>
        <v>0</v>
      </c>
      <c r="W182" s="34">
        <f>-SUMPRODUCT((S$6:S181=S182)*(X$6:X181=X182)*(B$6:B181&lt;&gt;"NS"))</f>
        <v>0</v>
      </c>
      <c r="X182" s="35">
        <f t="shared" si="41"/>
        <v>468.17892000000001</v>
      </c>
      <c r="Y182" s="27">
        <v>162</v>
      </c>
      <c r="Z182" s="27">
        <v>154</v>
      </c>
      <c r="AA182" s="29">
        <v>152</v>
      </c>
      <c r="AB182" s="27"/>
      <c r="AC182" s="27"/>
      <c r="AD182" s="27"/>
      <c r="AF182" s="36">
        <v>0</v>
      </c>
      <c r="AG182" s="36">
        <v>0</v>
      </c>
      <c r="AH182" s="36">
        <v>0</v>
      </c>
      <c r="AI182" s="36">
        <v>0</v>
      </c>
      <c r="AJ182" s="37">
        <v>3</v>
      </c>
      <c r="AK182" s="67">
        <v>468.15181999999999</v>
      </c>
      <c r="AL182" s="39">
        <v>162</v>
      </c>
      <c r="AM182" s="32">
        <v>478</v>
      </c>
      <c r="AN182" s="39"/>
      <c r="AO182" s="39"/>
      <c r="AP182" s="39"/>
      <c r="AQ182" s="30"/>
      <c r="AR182" s="26"/>
      <c r="AS182" s="1"/>
    </row>
    <row r="183" spans="1:45" ht="15">
      <c r="A183" s="61">
        <v>7</v>
      </c>
      <c r="B183" s="61">
        <v>7</v>
      </c>
      <c r="C183" s="40">
        <f t="shared" si="34"/>
        <v>7</v>
      </c>
      <c r="D183" s="40">
        <f t="shared" si="34"/>
        <v>7</v>
      </c>
      <c r="E183" s="1" t="s">
        <v>828</v>
      </c>
      <c r="F183" s="29" t="s">
        <v>38</v>
      </c>
      <c r="G183" s="29">
        <v>146</v>
      </c>
      <c r="H183" s="27">
        <v>158</v>
      </c>
      <c r="I183" s="27">
        <v>147</v>
      </c>
      <c r="J183" s="27">
        <v>162</v>
      </c>
      <c r="K183" s="27"/>
      <c r="L183" s="27"/>
      <c r="M183" s="32">
        <f t="shared" si="35"/>
        <v>467</v>
      </c>
      <c r="N183" s="32" t="s">
        <v>1330</v>
      </c>
      <c r="O183" s="32"/>
      <c r="P183" s="42">
        <f t="shared" si="36"/>
        <v>466.98230000000001</v>
      </c>
      <c r="Q183" s="32">
        <f t="shared" si="37"/>
        <v>4</v>
      </c>
      <c r="R183" s="32">
        <f t="shared" ca="1" si="38"/>
        <v>0</v>
      </c>
      <c r="S183" s="33" t="s">
        <v>180</v>
      </c>
      <c r="T183" s="34">
        <f t="shared" si="39"/>
        <v>0</v>
      </c>
      <c r="U183" s="34">
        <f t="shared" ca="1" si="40"/>
        <v>0</v>
      </c>
      <c r="V183" s="34">
        <f>-SUMPRODUCT((S$6:S182=S183)*(X$6:X182=X183))</f>
        <v>0</v>
      </c>
      <c r="W183" s="34">
        <f>-SUMPRODUCT((S$6:S182=S183)*(X$6:X182=X183)*(B$6:B182&lt;&gt;"NS"))</f>
        <v>0</v>
      </c>
      <c r="X183" s="35">
        <f t="shared" si="41"/>
        <v>467.17926999999997</v>
      </c>
      <c r="Y183" s="27">
        <v>162</v>
      </c>
      <c r="Z183" s="27">
        <v>158</v>
      </c>
      <c r="AA183" s="27">
        <v>147</v>
      </c>
      <c r="AB183" s="29">
        <v>146</v>
      </c>
      <c r="AC183" s="27"/>
      <c r="AD183" s="27"/>
      <c r="AF183" s="36">
        <v>0</v>
      </c>
      <c r="AG183" s="36">
        <v>0</v>
      </c>
      <c r="AH183" s="36">
        <v>0</v>
      </c>
      <c r="AI183" s="36">
        <v>0</v>
      </c>
      <c r="AJ183" s="37">
        <v>4</v>
      </c>
      <c r="AK183" s="67">
        <v>467.14626700000008</v>
      </c>
      <c r="AL183" s="39">
        <v>162</v>
      </c>
      <c r="AM183" s="32">
        <v>482</v>
      </c>
      <c r="AN183" s="39"/>
      <c r="AO183" s="39"/>
      <c r="AP183" s="39"/>
      <c r="AQ183" s="30"/>
      <c r="AR183" s="26"/>
      <c r="AS183" s="1"/>
    </row>
    <row r="184" spans="1:45" ht="15">
      <c r="A184" s="61">
        <v>8</v>
      </c>
      <c r="B184" s="61">
        <v>8</v>
      </c>
      <c r="C184" s="40">
        <f t="shared" si="34"/>
        <v>8</v>
      </c>
      <c r="D184" s="40">
        <f t="shared" si="34"/>
        <v>8</v>
      </c>
      <c r="E184" s="1" t="s">
        <v>230</v>
      </c>
      <c r="F184" s="29" t="s">
        <v>118</v>
      </c>
      <c r="G184" s="29">
        <v>131</v>
      </c>
      <c r="H184" s="27">
        <v>98</v>
      </c>
      <c r="I184" s="27">
        <v>135</v>
      </c>
      <c r="J184" s="27">
        <v>154</v>
      </c>
      <c r="K184" s="27">
        <v>173</v>
      </c>
      <c r="L184" s="27"/>
      <c r="M184" s="32">
        <f t="shared" si="35"/>
        <v>462</v>
      </c>
      <c r="N184" s="32" t="s">
        <v>1330</v>
      </c>
      <c r="O184" s="32"/>
      <c r="P184" s="42">
        <f t="shared" si="36"/>
        <v>461.98219999999998</v>
      </c>
      <c r="Q184" s="32">
        <f t="shared" si="37"/>
        <v>5</v>
      </c>
      <c r="R184" s="32">
        <f t="shared" ca="1" si="38"/>
        <v>0</v>
      </c>
      <c r="S184" s="33" t="s">
        <v>180</v>
      </c>
      <c r="T184" s="34">
        <f t="shared" si="39"/>
        <v>0</v>
      </c>
      <c r="U184" s="34">
        <f t="shared" ca="1" si="40"/>
        <v>173</v>
      </c>
      <c r="V184" s="34">
        <f>-SUMPRODUCT((S$6:S183=S184)*(X$6:X183=X184))</f>
        <v>0</v>
      </c>
      <c r="W184" s="34">
        <f>-SUMPRODUCT((S$6:S183=S184)*(X$6:X183=X184)*(B$6:B183&lt;&gt;"NS"))</f>
        <v>0</v>
      </c>
      <c r="X184" s="35">
        <f t="shared" si="41"/>
        <v>462.18975</v>
      </c>
      <c r="Y184" s="27">
        <v>173</v>
      </c>
      <c r="Z184" s="27">
        <v>154</v>
      </c>
      <c r="AA184" s="27">
        <v>135</v>
      </c>
      <c r="AB184" s="29">
        <v>131</v>
      </c>
      <c r="AC184" s="27">
        <v>98</v>
      </c>
      <c r="AD184" s="27"/>
      <c r="AF184" s="36">
        <v>0</v>
      </c>
      <c r="AG184" s="36">
        <v>0</v>
      </c>
      <c r="AH184" s="36">
        <v>0</v>
      </c>
      <c r="AI184" s="36">
        <v>0</v>
      </c>
      <c r="AJ184" s="37">
        <v>4</v>
      </c>
      <c r="AK184" s="67">
        <v>420.12497499999995</v>
      </c>
      <c r="AL184" s="39">
        <v>154</v>
      </c>
      <c r="AM184" s="32">
        <v>443</v>
      </c>
      <c r="AN184" s="39"/>
      <c r="AO184" s="39"/>
      <c r="AP184" s="39"/>
      <c r="AQ184" s="30"/>
      <c r="AR184" s="26"/>
      <c r="AS184" s="1"/>
    </row>
    <row r="185" spans="1:45" ht="15">
      <c r="A185" s="61">
        <v>9</v>
      </c>
      <c r="B185" s="61">
        <v>9</v>
      </c>
      <c r="C185" s="40">
        <f t="shared" si="34"/>
        <v>9</v>
      </c>
      <c r="D185" s="40">
        <f t="shared" si="34"/>
        <v>9</v>
      </c>
      <c r="E185" s="1" t="s">
        <v>829</v>
      </c>
      <c r="F185" s="29" t="s">
        <v>93</v>
      </c>
      <c r="G185" s="29"/>
      <c r="H185" s="27">
        <v>117</v>
      </c>
      <c r="I185" s="27">
        <v>138</v>
      </c>
      <c r="J185" s="27">
        <v>149</v>
      </c>
      <c r="K185" s="27"/>
      <c r="L185" s="27"/>
      <c r="M185" s="32">
        <f t="shared" si="35"/>
        <v>404</v>
      </c>
      <c r="N185" s="32" t="s">
        <v>1330</v>
      </c>
      <c r="O185" s="32"/>
      <c r="P185" s="42">
        <f t="shared" si="36"/>
        <v>403.9821</v>
      </c>
      <c r="Q185" s="32">
        <f t="shared" si="37"/>
        <v>3</v>
      </c>
      <c r="R185" s="32">
        <f t="shared" ca="1" si="38"/>
        <v>0</v>
      </c>
      <c r="S185" s="33" t="s">
        <v>180</v>
      </c>
      <c r="T185" s="34">
        <f t="shared" si="39"/>
        <v>0</v>
      </c>
      <c r="U185" s="34">
        <f t="shared" ca="1" si="40"/>
        <v>0</v>
      </c>
      <c r="V185" s="34">
        <f>-SUMPRODUCT((S$6:S184=S185)*(X$6:X184=X185))</f>
        <v>0</v>
      </c>
      <c r="W185" s="34">
        <f>-SUMPRODUCT((S$6:S184=S185)*(X$6:X184=X185)*(B$6:B184&lt;&gt;"NS"))</f>
        <v>0</v>
      </c>
      <c r="X185" s="35">
        <f t="shared" si="41"/>
        <v>404.16397000000001</v>
      </c>
      <c r="Y185" s="27">
        <v>149</v>
      </c>
      <c r="Z185" s="27">
        <v>138</v>
      </c>
      <c r="AA185" s="27">
        <v>117</v>
      </c>
      <c r="AB185" s="29"/>
      <c r="AC185" s="27"/>
      <c r="AD185" s="27"/>
      <c r="AF185" s="36">
        <v>0</v>
      </c>
      <c r="AG185" s="36">
        <v>0</v>
      </c>
      <c r="AH185" s="36">
        <v>0</v>
      </c>
      <c r="AI185" s="36">
        <v>0</v>
      </c>
      <c r="AJ185" s="37">
        <v>3</v>
      </c>
      <c r="AK185" s="67">
        <v>403.99572799999999</v>
      </c>
      <c r="AL185" s="39">
        <v>149</v>
      </c>
      <c r="AM185" s="32">
        <v>436</v>
      </c>
      <c r="AN185" s="39"/>
      <c r="AO185" s="39"/>
      <c r="AP185" s="39"/>
      <c r="AQ185" s="30"/>
      <c r="AR185" s="26"/>
      <c r="AS185" s="1"/>
    </row>
    <row r="186" spans="1:45" ht="15">
      <c r="A186" s="61">
        <v>10</v>
      </c>
      <c r="B186" s="61">
        <v>10</v>
      </c>
      <c r="C186" s="40">
        <f t="shared" si="34"/>
        <v>10</v>
      </c>
      <c r="D186" s="40">
        <f t="shared" si="34"/>
        <v>10</v>
      </c>
      <c r="E186" s="1" t="s">
        <v>830</v>
      </c>
      <c r="F186" s="29" t="s">
        <v>53</v>
      </c>
      <c r="G186" s="29">
        <v>124</v>
      </c>
      <c r="H186" s="27">
        <v>130</v>
      </c>
      <c r="I186" s="27">
        <v>133</v>
      </c>
      <c r="J186" s="27"/>
      <c r="K186" s="27"/>
      <c r="L186" s="27"/>
      <c r="M186" s="32">
        <f t="shared" si="35"/>
        <v>387</v>
      </c>
      <c r="N186" s="32" t="s">
        <v>1330</v>
      </c>
      <c r="O186" s="32"/>
      <c r="P186" s="42">
        <f t="shared" si="36"/>
        <v>386.98200000000003</v>
      </c>
      <c r="Q186" s="32">
        <f t="shared" si="37"/>
        <v>3</v>
      </c>
      <c r="R186" s="32">
        <f t="shared" ca="1" si="38"/>
        <v>0</v>
      </c>
      <c r="S186" s="33" t="s">
        <v>180</v>
      </c>
      <c r="T186" s="34">
        <f t="shared" si="39"/>
        <v>0</v>
      </c>
      <c r="U186" s="34">
        <f t="shared" ca="1" si="40"/>
        <v>0</v>
      </c>
      <c r="V186" s="34">
        <f>-SUMPRODUCT((S$6:S185=S186)*(X$6:X185=X186))</f>
        <v>0</v>
      </c>
      <c r="W186" s="34">
        <f>-SUMPRODUCT((S$6:S185=S186)*(X$6:X185=X186)*(B$6:B185&lt;&gt;"NS"))</f>
        <v>0</v>
      </c>
      <c r="X186" s="35">
        <f t="shared" si="41"/>
        <v>387.14724000000001</v>
      </c>
      <c r="Y186" s="27">
        <v>133</v>
      </c>
      <c r="Z186" s="27">
        <v>130</v>
      </c>
      <c r="AA186" s="29">
        <v>124</v>
      </c>
      <c r="AB186" s="27"/>
      <c r="AC186" s="27"/>
      <c r="AD186" s="27"/>
      <c r="AF186" s="36">
        <v>0</v>
      </c>
      <c r="AG186" s="36">
        <v>0</v>
      </c>
      <c r="AH186" s="36">
        <v>0</v>
      </c>
      <c r="AI186" s="36">
        <v>0</v>
      </c>
      <c r="AJ186" s="37">
        <v>3</v>
      </c>
      <c r="AK186" s="67">
        <v>387.12063000000001</v>
      </c>
      <c r="AL186" s="39">
        <v>133</v>
      </c>
      <c r="AM186" s="32">
        <v>396</v>
      </c>
      <c r="AN186" s="39"/>
      <c r="AO186" s="39"/>
      <c r="AP186" s="39"/>
      <c r="AQ186" s="30"/>
      <c r="AR186" s="26"/>
      <c r="AS186" s="1"/>
    </row>
    <row r="187" spans="1:45" ht="15">
      <c r="A187" s="61">
        <v>11</v>
      </c>
      <c r="B187" s="61">
        <v>11</v>
      </c>
      <c r="C187" s="40">
        <f t="shared" si="34"/>
        <v>11</v>
      </c>
      <c r="D187" s="40">
        <f t="shared" si="34"/>
        <v>11</v>
      </c>
      <c r="E187" s="1" t="s">
        <v>277</v>
      </c>
      <c r="F187" s="29" t="s">
        <v>50</v>
      </c>
      <c r="G187" s="29">
        <v>80</v>
      </c>
      <c r="H187" s="27"/>
      <c r="I187" s="27"/>
      <c r="J187" s="27">
        <v>123</v>
      </c>
      <c r="K187" s="27">
        <v>156</v>
      </c>
      <c r="L187" s="27"/>
      <c r="M187" s="32">
        <f t="shared" si="35"/>
        <v>359</v>
      </c>
      <c r="N187" s="32" t="s">
        <v>1330</v>
      </c>
      <c r="O187" s="32"/>
      <c r="P187" s="42">
        <f t="shared" si="36"/>
        <v>358.9819</v>
      </c>
      <c r="Q187" s="32">
        <f t="shared" si="37"/>
        <v>3</v>
      </c>
      <c r="R187" s="32">
        <f t="shared" ca="1" si="38"/>
        <v>0</v>
      </c>
      <c r="S187" s="33" t="s">
        <v>180</v>
      </c>
      <c r="T187" s="34">
        <f t="shared" si="39"/>
        <v>0</v>
      </c>
      <c r="U187" s="34">
        <f t="shared" ca="1" si="40"/>
        <v>156</v>
      </c>
      <c r="V187" s="34">
        <f>-SUMPRODUCT((S$6:S186=S187)*(X$6:X186=X187))</f>
        <v>0</v>
      </c>
      <c r="W187" s="34">
        <f>-SUMPRODUCT((S$6:S186=S187)*(X$6:X186=X187)*(B$6:B186&lt;&gt;"NS"))</f>
        <v>0</v>
      </c>
      <c r="X187" s="35">
        <f t="shared" si="41"/>
        <v>359.16910000000001</v>
      </c>
      <c r="Y187" s="27">
        <v>156</v>
      </c>
      <c r="Z187" s="27">
        <v>123</v>
      </c>
      <c r="AA187" s="29">
        <v>80</v>
      </c>
      <c r="AB187" s="27"/>
      <c r="AC187" s="27"/>
      <c r="AD187" s="27"/>
      <c r="AF187" s="36">
        <v>0</v>
      </c>
      <c r="AG187" s="36">
        <v>0</v>
      </c>
      <c r="AH187" s="36">
        <v>0</v>
      </c>
      <c r="AI187" s="36">
        <v>0</v>
      </c>
      <c r="AJ187" s="37">
        <v>2</v>
      </c>
      <c r="AK187" s="67">
        <v>203.06183000000001</v>
      </c>
      <c r="AL187" s="39">
        <v>123</v>
      </c>
      <c r="AM187" s="32">
        <v>326</v>
      </c>
      <c r="AN187" s="39"/>
      <c r="AO187" s="39"/>
      <c r="AP187" s="39"/>
      <c r="AQ187" s="30"/>
      <c r="AR187" s="26"/>
      <c r="AS187" s="1"/>
    </row>
    <row r="188" spans="1:45" ht="15">
      <c r="A188" s="61">
        <v>12</v>
      </c>
      <c r="B188" s="61">
        <v>12</v>
      </c>
      <c r="C188" s="40">
        <f t="shared" si="34"/>
        <v>12</v>
      </c>
      <c r="D188" s="40">
        <f t="shared" si="34"/>
        <v>12</v>
      </c>
      <c r="E188" s="1" t="s">
        <v>318</v>
      </c>
      <c r="F188" s="29" t="s">
        <v>103</v>
      </c>
      <c r="G188" s="29">
        <v>48</v>
      </c>
      <c r="H188" s="27"/>
      <c r="I188" s="27">
        <v>110</v>
      </c>
      <c r="J188" s="27">
        <v>106</v>
      </c>
      <c r="K188" s="27">
        <v>139</v>
      </c>
      <c r="L188" s="27"/>
      <c r="M188" s="32">
        <f t="shared" si="35"/>
        <v>355</v>
      </c>
      <c r="N188" s="32" t="s">
        <v>1330</v>
      </c>
      <c r="O188" s="32"/>
      <c r="P188" s="42">
        <f t="shared" si="36"/>
        <v>354.98180000000002</v>
      </c>
      <c r="Q188" s="32">
        <f t="shared" si="37"/>
        <v>4</v>
      </c>
      <c r="R188" s="32">
        <f t="shared" ca="1" si="38"/>
        <v>0</v>
      </c>
      <c r="S188" s="33" t="s">
        <v>180</v>
      </c>
      <c r="T188" s="34">
        <f t="shared" si="39"/>
        <v>0</v>
      </c>
      <c r="U188" s="34">
        <f t="shared" ca="1" si="40"/>
        <v>139</v>
      </c>
      <c r="V188" s="34">
        <f>-SUMPRODUCT((S$6:S187=S188)*(X$6:X187=X188))</f>
        <v>0</v>
      </c>
      <c r="W188" s="34">
        <f>-SUMPRODUCT((S$6:S187=S188)*(X$6:X187=X188)*(B$6:B187&lt;&gt;"NS"))</f>
        <v>0</v>
      </c>
      <c r="X188" s="35">
        <f t="shared" si="41"/>
        <v>355.15105999999997</v>
      </c>
      <c r="Y188" s="27">
        <v>139</v>
      </c>
      <c r="Z188" s="27">
        <v>110</v>
      </c>
      <c r="AA188" s="27">
        <v>106</v>
      </c>
      <c r="AB188" s="29">
        <v>48</v>
      </c>
      <c r="AC188" s="27"/>
      <c r="AD188" s="27"/>
      <c r="AF188" s="36">
        <v>0</v>
      </c>
      <c r="AG188" s="36">
        <v>0</v>
      </c>
      <c r="AH188" s="36">
        <v>0</v>
      </c>
      <c r="AI188" s="36">
        <v>0</v>
      </c>
      <c r="AJ188" s="37">
        <v>3</v>
      </c>
      <c r="AK188" s="67">
        <v>264.03070600000001</v>
      </c>
      <c r="AL188" s="39">
        <v>110</v>
      </c>
      <c r="AM188" s="32">
        <v>326</v>
      </c>
      <c r="AN188" s="39"/>
      <c r="AO188" s="39"/>
      <c r="AP188" s="39"/>
      <c r="AQ188" s="30"/>
      <c r="AR188" s="26"/>
      <c r="AS188" s="1"/>
    </row>
    <row r="189" spans="1:45" ht="15">
      <c r="A189" s="61">
        <v>13</v>
      </c>
      <c r="B189" s="61">
        <v>13</v>
      </c>
      <c r="C189" s="40">
        <f t="shared" si="34"/>
        <v>13</v>
      </c>
      <c r="D189" s="40">
        <f t="shared" si="34"/>
        <v>13</v>
      </c>
      <c r="E189" s="1" t="s">
        <v>831</v>
      </c>
      <c r="F189" s="29" t="s">
        <v>88</v>
      </c>
      <c r="G189" s="29">
        <v>154</v>
      </c>
      <c r="H189" s="27">
        <v>171</v>
      </c>
      <c r="I189" s="27"/>
      <c r="J189" s="27"/>
      <c r="K189" s="27"/>
      <c r="L189" s="27"/>
      <c r="M189" s="32">
        <f t="shared" si="35"/>
        <v>325</v>
      </c>
      <c r="N189" s="32" t="s">
        <v>1330</v>
      </c>
      <c r="O189" s="32"/>
      <c r="P189" s="42">
        <f t="shared" si="36"/>
        <v>324.98169999999999</v>
      </c>
      <c r="Q189" s="32">
        <f t="shared" si="37"/>
        <v>2</v>
      </c>
      <c r="R189" s="32">
        <f t="shared" ca="1" si="38"/>
        <v>0</v>
      </c>
      <c r="S189" s="33" t="s">
        <v>180</v>
      </c>
      <c r="T189" s="34">
        <f t="shared" si="39"/>
        <v>0</v>
      </c>
      <c r="U189" s="34">
        <f t="shared" ca="1" si="40"/>
        <v>0</v>
      </c>
      <c r="V189" s="34">
        <f>-SUMPRODUCT((S$6:S188=S189)*(X$6:X188=X189))</f>
        <v>0</v>
      </c>
      <c r="W189" s="34">
        <f>-SUMPRODUCT((S$6:S188=S189)*(X$6:X188=X189)*(B$6:B188&lt;&gt;"NS"))</f>
        <v>0</v>
      </c>
      <c r="X189" s="35">
        <f t="shared" si="41"/>
        <v>325.18639999999999</v>
      </c>
      <c r="Y189" s="27">
        <v>171</v>
      </c>
      <c r="Z189" s="29">
        <v>154</v>
      </c>
      <c r="AA189" s="27"/>
      <c r="AB189" s="27"/>
      <c r="AC189" s="27"/>
      <c r="AD189" s="27"/>
      <c r="AF189" s="36">
        <v>0</v>
      </c>
      <c r="AG189" s="36">
        <v>0</v>
      </c>
      <c r="AH189" s="36">
        <v>0</v>
      </c>
      <c r="AI189" s="36">
        <v>0</v>
      </c>
      <c r="AJ189" s="37">
        <v>2</v>
      </c>
      <c r="AK189" s="67">
        <v>325.1533</v>
      </c>
      <c r="AL189" s="39">
        <v>171</v>
      </c>
      <c r="AM189" s="32">
        <v>496</v>
      </c>
      <c r="AN189" s="39"/>
      <c r="AO189" s="39"/>
      <c r="AP189" s="39"/>
      <c r="AQ189" s="30"/>
      <c r="AR189" s="26"/>
      <c r="AS189" s="1"/>
    </row>
    <row r="190" spans="1:45" ht="15">
      <c r="A190" s="61">
        <v>14</v>
      </c>
      <c r="B190" s="61">
        <v>14</v>
      </c>
      <c r="C190" s="40">
        <f t="shared" si="34"/>
        <v>14</v>
      </c>
      <c r="D190" s="40">
        <f t="shared" si="34"/>
        <v>14</v>
      </c>
      <c r="E190" s="1" t="s">
        <v>334</v>
      </c>
      <c r="F190" s="29" t="s">
        <v>118</v>
      </c>
      <c r="G190" s="29"/>
      <c r="H190" s="27">
        <v>69</v>
      </c>
      <c r="I190" s="27">
        <v>89</v>
      </c>
      <c r="J190" s="27">
        <v>107</v>
      </c>
      <c r="K190" s="27">
        <v>129</v>
      </c>
      <c r="L190" s="27"/>
      <c r="M190" s="32">
        <f t="shared" si="35"/>
        <v>325</v>
      </c>
      <c r="N190" s="32" t="s">
        <v>1330</v>
      </c>
      <c r="O190" s="32"/>
      <c r="P190" s="42">
        <f t="shared" si="36"/>
        <v>324.98160000000001</v>
      </c>
      <c r="Q190" s="32">
        <f t="shared" si="37"/>
        <v>4</v>
      </c>
      <c r="R190" s="32">
        <f t="shared" ca="1" si="38"/>
        <v>0</v>
      </c>
      <c r="S190" s="33" t="s">
        <v>180</v>
      </c>
      <c r="T190" s="34">
        <f t="shared" si="39"/>
        <v>0</v>
      </c>
      <c r="U190" s="34">
        <f t="shared" ca="1" si="40"/>
        <v>129</v>
      </c>
      <c r="V190" s="34">
        <f>-SUMPRODUCT((S$6:S189=S190)*(X$6:X189=X190))</f>
        <v>0</v>
      </c>
      <c r="W190" s="34">
        <f>-SUMPRODUCT((S$6:S189=S190)*(X$6:X189=X190)*(B$6:B189&lt;&gt;"NS"))</f>
        <v>0</v>
      </c>
      <c r="X190" s="35">
        <f t="shared" si="41"/>
        <v>325.14058999999997</v>
      </c>
      <c r="Y190" s="27">
        <v>129</v>
      </c>
      <c r="Z190" s="27">
        <v>107</v>
      </c>
      <c r="AA190" s="27">
        <v>89</v>
      </c>
      <c r="AB190" s="27">
        <v>69</v>
      </c>
      <c r="AC190" s="29"/>
      <c r="AD190" s="27"/>
      <c r="AF190" s="36">
        <v>0</v>
      </c>
      <c r="AG190" s="36">
        <v>0</v>
      </c>
      <c r="AH190" s="36">
        <v>0</v>
      </c>
      <c r="AI190" s="36">
        <v>0</v>
      </c>
      <c r="AJ190" s="37">
        <v>3</v>
      </c>
      <c r="AK190" s="67">
        <v>264.98965900000002</v>
      </c>
      <c r="AL190" s="39">
        <v>107</v>
      </c>
      <c r="AM190" s="32">
        <v>303</v>
      </c>
      <c r="AN190" s="39"/>
      <c r="AO190" s="39"/>
      <c r="AP190" s="39"/>
      <c r="AQ190" s="30"/>
      <c r="AR190" s="26"/>
      <c r="AS190" s="1"/>
    </row>
    <row r="191" spans="1:45" ht="15">
      <c r="A191" s="61">
        <v>15</v>
      </c>
      <c r="B191" s="61">
        <v>15</v>
      </c>
      <c r="C191" s="40">
        <f t="shared" si="34"/>
        <v>15</v>
      </c>
      <c r="D191" s="40">
        <f t="shared" si="34"/>
        <v>15</v>
      </c>
      <c r="E191" s="1" t="s">
        <v>832</v>
      </c>
      <c r="F191" s="29" t="s">
        <v>38</v>
      </c>
      <c r="G191" s="29">
        <v>75</v>
      </c>
      <c r="H191" s="27">
        <v>106</v>
      </c>
      <c r="I191" s="27">
        <v>114</v>
      </c>
      <c r="J191" s="27">
        <v>104</v>
      </c>
      <c r="K191" s="27"/>
      <c r="L191" s="27"/>
      <c r="M191" s="32">
        <f t="shared" si="35"/>
        <v>324</v>
      </c>
      <c r="N191" s="32" t="s">
        <v>1330</v>
      </c>
      <c r="O191" s="32"/>
      <c r="P191" s="42">
        <f t="shared" si="36"/>
        <v>323.98149999999998</v>
      </c>
      <c r="Q191" s="32">
        <f t="shared" si="37"/>
        <v>4</v>
      </c>
      <c r="R191" s="32">
        <f t="shared" ca="1" si="38"/>
        <v>0</v>
      </c>
      <c r="S191" s="33" t="s">
        <v>180</v>
      </c>
      <c r="T191" s="34">
        <f t="shared" si="39"/>
        <v>0</v>
      </c>
      <c r="U191" s="34">
        <f t="shared" ca="1" si="40"/>
        <v>0</v>
      </c>
      <c r="V191" s="34">
        <f>-SUMPRODUCT((S$6:S190=S191)*(X$6:X190=X191))</f>
        <v>0</v>
      </c>
      <c r="W191" s="34">
        <f>-SUMPRODUCT((S$6:S190=S191)*(X$6:X190=X191)*(B$6:B190&lt;&gt;"NS"))</f>
        <v>0</v>
      </c>
      <c r="X191" s="35">
        <f t="shared" si="41"/>
        <v>324.12563999999998</v>
      </c>
      <c r="Y191" s="27">
        <v>114</v>
      </c>
      <c r="Z191" s="27">
        <v>106</v>
      </c>
      <c r="AA191" s="27">
        <v>104</v>
      </c>
      <c r="AB191" s="29">
        <v>75</v>
      </c>
      <c r="AC191" s="27"/>
      <c r="AD191" s="27"/>
      <c r="AF191" s="36">
        <v>0</v>
      </c>
      <c r="AG191" s="36">
        <v>0</v>
      </c>
      <c r="AH191" s="36">
        <v>0</v>
      </c>
      <c r="AI191" s="36">
        <v>0</v>
      </c>
      <c r="AJ191" s="37">
        <v>4</v>
      </c>
      <c r="AK191" s="67">
        <v>324.06894400000004</v>
      </c>
      <c r="AL191" s="39">
        <v>114</v>
      </c>
      <c r="AM191" s="32">
        <v>334</v>
      </c>
      <c r="AN191" s="39"/>
      <c r="AO191" s="39"/>
      <c r="AP191" s="39"/>
      <c r="AQ191" s="30"/>
      <c r="AR191" s="26"/>
      <c r="AS191" s="1"/>
    </row>
    <row r="192" spans="1:45" ht="15">
      <c r="A192" s="61">
        <v>16</v>
      </c>
      <c r="B192" s="61">
        <v>16</v>
      </c>
      <c r="C192" s="40">
        <f t="shared" si="34"/>
        <v>16</v>
      </c>
      <c r="D192" s="40">
        <f t="shared" si="34"/>
        <v>16</v>
      </c>
      <c r="E192" s="1" t="s">
        <v>833</v>
      </c>
      <c r="F192" s="29" t="s">
        <v>38</v>
      </c>
      <c r="G192" s="29">
        <v>162</v>
      </c>
      <c r="H192" s="27"/>
      <c r="I192" s="27">
        <v>157</v>
      </c>
      <c r="J192" s="27"/>
      <c r="K192" s="27"/>
      <c r="L192" s="27"/>
      <c r="M192" s="32">
        <f t="shared" si="35"/>
        <v>319</v>
      </c>
      <c r="N192" s="32" t="s">
        <v>1330</v>
      </c>
      <c r="O192" s="32"/>
      <c r="P192" s="42">
        <f t="shared" si="36"/>
        <v>318.98140000000001</v>
      </c>
      <c r="Q192" s="32">
        <f t="shared" si="37"/>
        <v>2</v>
      </c>
      <c r="R192" s="32">
        <f t="shared" ca="1" si="38"/>
        <v>0</v>
      </c>
      <c r="S192" s="33" t="s">
        <v>180</v>
      </c>
      <c r="T192" s="34">
        <f t="shared" si="39"/>
        <v>0</v>
      </c>
      <c r="U192" s="34">
        <f t="shared" ca="1" si="40"/>
        <v>0</v>
      </c>
      <c r="V192" s="34">
        <f>-SUMPRODUCT((S$6:S191=S192)*(X$6:X191=X192))</f>
        <v>0</v>
      </c>
      <c r="W192" s="34">
        <f>-SUMPRODUCT((S$6:S191=S192)*(X$6:X191=X192)*(B$6:B191&lt;&gt;"NS"))</f>
        <v>0</v>
      </c>
      <c r="X192" s="35">
        <f t="shared" si="41"/>
        <v>319.17770000000002</v>
      </c>
      <c r="Y192" s="29">
        <v>162</v>
      </c>
      <c r="Z192" s="27">
        <v>157</v>
      </c>
      <c r="AA192" s="27"/>
      <c r="AB192" s="27"/>
      <c r="AC192" s="27"/>
      <c r="AD192" s="27"/>
      <c r="AF192" s="36">
        <v>0</v>
      </c>
      <c r="AG192" s="36">
        <v>0</v>
      </c>
      <c r="AH192" s="36">
        <v>0</v>
      </c>
      <c r="AI192" s="36">
        <v>0</v>
      </c>
      <c r="AJ192" s="37">
        <v>2</v>
      </c>
      <c r="AK192" s="67">
        <v>319.14557000000002</v>
      </c>
      <c r="AL192" s="39">
        <v>162</v>
      </c>
      <c r="AM192" s="32">
        <v>481</v>
      </c>
      <c r="AN192" s="39"/>
      <c r="AO192" s="39"/>
      <c r="AP192" s="39"/>
      <c r="AQ192" s="30"/>
      <c r="AR192" s="26"/>
      <c r="AS192" s="1"/>
    </row>
    <row r="193" spans="1:45" ht="15">
      <c r="A193" s="61">
        <v>17</v>
      </c>
      <c r="B193" s="61">
        <v>17</v>
      </c>
      <c r="C193" s="40">
        <f t="shared" si="34"/>
        <v>17</v>
      </c>
      <c r="D193" s="40">
        <f t="shared" si="34"/>
        <v>17</v>
      </c>
      <c r="E193" s="1" t="s">
        <v>328</v>
      </c>
      <c r="F193" s="29" t="s">
        <v>66</v>
      </c>
      <c r="G193" s="29"/>
      <c r="H193" s="27">
        <v>85</v>
      </c>
      <c r="I193" s="27">
        <v>84</v>
      </c>
      <c r="J193" s="27"/>
      <c r="K193" s="27">
        <v>132</v>
      </c>
      <c r="L193" s="27"/>
      <c r="M193" s="32">
        <f t="shared" si="35"/>
        <v>301</v>
      </c>
      <c r="N193" s="32" t="s">
        <v>1330</v>
      </c>
      <c r="O193" s="32"/>
      <c r="P193" s="42">
        <f t="shared" si="36"/>
        <v>300.98129999999998</v>
      </c>
      <c r="Q193" s="32">
        <f t="shared" si="37"/>
        <v>3</v>
      </c>
      <c r="R193" s="32">
        <f t="shared" ca="1" si="38"/>
        <v>0</v>
      </c>
      <c r="S193" s="33" t="s">
        <v>180</v>
      </c>
      <c r="T193" s="34">
        <f t="shared" si="39"/>
        <v>0</v>
      </c>
      <c r="U193" s="34">
        <f t="shared" ca="1" si="40"/>
        <v>132</v>
      </c>
      <c r="V193" s="34">
        <f>-SUMPRODUCT((S$6:S192=S193)*(X$6:X192=X193))</f>
        <v>0</v>
      </c>
      <c r="W193" s="34">
        <f>-SUMPRODUCT((S$6:S192=S193)*(X$6:X192=X193)*(B$6:B192&lt;&gt;"NS"))</f>
        <v>0</v>
      </c>
      <c r="X193" s="35">
        <f t="shared" si="41"/>
        <v>301.14134000000001</v>
      </c>
      <c r="Y193" s="27">
        <v>132</v>
      </c>
      <c r="Z193" s="27">
        <v>85</v>
      </c>
      <c r="AA193" s="27">
        <v>84</v>
      </c>
      <c r="AB193" s="29"/>
      <c r="AC193" s="27"/>
      <c r="AD193" s="27"/>
      <c r="AF193" s="36">
        <v>0</v>
      </c>
      <c r="AG193" s="36">
        <v>0</v>
      </c>
      <c r="AH193" s="36">
        <v>0</v>
      </c>
      <c r="AI193" s="36">
        <v>0</v>
      </c>
      <c r="AJ193" s="37">
        <v>2</v>
      </c>
      <c r="AK193" s="67">
        <v>168.98964000000001</v>
      </c>
      <c r="AL193" s="39">
        <v>85</v>
      </c>
      <c r="AM193" s="32">
        <v>254</v>
      </c>
      <c r="AN193" s="39"/>
      <c r="AO193" s="39"/>
      <c r="AP193" s="39"/>
      <c r="AQ193" s="30"/>
      <c r="AR193" s="26"/>
      <c r="AS193" s="1"/>
    </row>
    <row r="194" spans="1:45" ht="15">
      <c r="A194" s="61">
        <v>18</v>
      </c>
      <c r="B194" s="61">
        <v>18</v>
      </c>
      <c r="C194" s="40">
        <f t="shared" si="34"/>
        <v>18</v>
      </c>
      <c r="D194" s="40">
        <f t="shared" si="34"/>
        <v>18</v>
      </c>
      <c r="E194" s="1" t="s">
        <v>834</v>
      </c>
      <c r="F194" s="29" t="s">
        <v>57</v>
      </c>
      <c r="G194" s="29">
        <v>83</v>
      </c>
      <c r="H194" s="27">
        <v>93</v>
      </c>
      <c r="I194" s="27">
        <v>118</v>
      </c>
      <c r="J194" s="27"/>
      <c r="K194" s="27"/>
      <c r="L194" s="27"/>
      <c r="M194" s="32">
        <f t="shared" si="35"/>
        <v>294</v>
      </c>
      <c r="N194" s="32" t="s">
        <v>1330</v>
      </c>
      <c r="O194" s="32"/>
      <c r="P194" s="42">
        <f t="shared" si="36"/>
        <v>293.9812</v>
      </c>
      <c r="Q194" s="32">
        <f t="shared" si="37"/>
        <v>3</v>
      </c>
      <c r="R194" s="32">
        <f t="shared" ca="1" si="38"/>
        <v>0</v>
      </c>
      <c r="S194" s="33" t="s">
        <v>180</v>
      </c>
      <c r="T194" s="34">
        <f t="shared" si="39"/>
        <v>0</v>
      </c>
      <c r="U194" s="34">
        <f t="shared" ca="1" si="40"/>
        <v>0</v>
      </c>
      <c r="V194" s="34">
        <f>-SUMPRODUCT((S$6:S193=S194)*(X$6:X193=X194))</f>
        <v>0</v>
      </c>
      <c r="W194" s="34">
        <f>-SUMPRODUCT((S$6:S193=S194)*(X$6:X193=X194)*(B$6:B193&lt;&gt;"NS"))</f>
        <v>0</v>
      </c>
      <c r="X194" s="35">
        <f t="shared" si="41"/>
        <v>294.12813</v>
      </c>
      <c r="Y194" s="27">
        <v>118</v>
      </c>
      <c r="Z194" s="27">
        <v>93</v>
      </c>
      <c r="AA194" s="29">
        <v>83</v>
      </c>
      <c r="AB194" s="27"/>
      <c r="AC194" s="27"/>
      <c r="AD194" s="27"/>
      <c r="AF194" s="36">
        <v>0</v>
      </c>
      <c r="AG194" s="36">
        <v>0</v>
      </c>
      <c r="AH194" s="36">
        <v>0</v>
      </c>
      <c r="AI194" s="36">
        <v>0</v>
      </c>
      <c r="AJ194" s="37">
        <v>3</v>
      </c>
      <c r="AK194" s="67">
        <v>294.07528000000002</v>
      </c>
      <c r="AL194" s="39">
        <v>118</v>
      </c>
      <c r="AM194" s="32">
        <v>329</v>
      </c>
      <c r="AN194" s="39"/>
      <c r="AO194" s="39"/>
      <c r="AP194" s="39"/>
      <c r="AQ194" s="30"/>
      <c r="AR194" s="26"/>
      <c r="AS194" s="1"/>
    </row>
    <row r="195" spans="1:45" ht="15">
      <c r="A195" s="61">
        <v>19</v>
      </c>
      <c r="B195" s="61">
        <v>19</v>
      </c>
      <c r="C195" s="40">
        <f t="shared" si="34"/>
        <v>19</v>
      </c>
      <c r="D195" s="40">
        <f t="shared" si="34"/>
        <v>19</v>
      </c>
      <c r="E195" s="1" t="s">
        <v>835</v>
      </c>
      <c r="F195" s="29" t="s">
        <v>61</v>
      </c>
      <c r="G195" s="29">
        <v>31</v>
      </c>
      <c r="H195" s="27">
        <v>78</v>
      </c>
      <c r="I195" s="27"/>
      <c r="J195" s="27">
        <v>184</v>
      </c>
      <c r="K195" s="27"/>
      <c r="L195" s="27"/>
      <c r="M195" s="32">
        <f t="shared" si="35"/>
        <v>293</v>
      </c>
      <c r="N195" s="32" t="s">
        <v>1330</v>
      </c>
      <c r="O195" s="32"/>
      <c r="P195" s="42">
        <f t="shared" si="36"/>
        <v>292.98110000000003</v>
      </c>
      <c r="Q195" s="32">
        <f t="shared" si="37"/>
        <v>3</v>
      </c>
      <c r="R195" s="32">
        <f t="shared" ca="1" si="38"/>
        <v>0</v>
      </c>
      <c r="S195" s="33" t="s">
        <v>180</v>
      </c>
      <c r="T195" s="34">
        <f t="shared" si="39"/>
        <v>0</v>
      </c>
      <c r="U195" s="34">
        <f t="shared" ca="1" si="40"/>
        <v>0</v>
      </c>
      <c r="V195" s="34">
        <f>-SUMPRODUCT((S$6:S194=S195)*(X$6:X194=X195))</f>
        <v>0</v>
      </c>
      <c r="W195" s="34">
        <f>-SUMPRODUCT((S$6:S194=S195)*(X$6:X194=X195)*(B$6:B194&lt;&gt;"NS"))</f>
        <v>0</v>
      </c>
      <c r="X195" s="35">
        <f t="shared" si="41"/>
        <v>293.19211000000001</v>
      </c>
      <c r="Y195" s="27">
        <v>184</v>
      </c>
      <c r="Z195" s="27">
        <v>78</v>
      </c>
      <c r="AA195" s="29">
        <v>31</v>
      </c>
      <c r="AB195" s="27"/>
      <c r="AC195" s="27"/>
      <c r="AD195" s="27"/>
      <c r="AF195" s="36">
        <v>0</v>
      </c>
      <c r="AG195" s="36">
        <v>0</v>
      </c>
      <c r="AH195" s="36">
        <v>0</v>
      </c>
      <c r="AI195" s="36">
        <v>0</v>
      </c>
      <c r="AJ195" s="37">
        <v>3</v>
      </c>
      <c r="AK195" s="67">
        <v>293.02233999999999</v>
      </c>
      <c r="AL195" s="39">
        <v>184</v>
      </c>
      <c r="AM195" s="32">
        <v>446</v>
      </c>
      <c r="AN195" s="39"/>
      <c r="AO195" s="39"/>
      <c r="AP195" s="39"/>
      <c r="AQ195" s="30"/>
      <c r="AR195" s="26"/>
      <c r="AS195" s="1"/>
    </row>
    <row r="196" spans="1:45" ht="15">
      <c r="A196" s="61">
        <v>20</v>
      </c>
      <c r="B196" s="61">
        <v>20</v>
      </c>
      <c r="C196" s="40">
        <f t="shared" si="34"/>
        <v>20</v>
      </c>
      <c r="D196" s="40">
        <f t="shared" si="34"/>
        <v>20</v>
      </c>
      <c r="E196" s="1" t="s">
        <v>341</v>
      </c>
      <c r="F196" s="29" t="s">
        <v>69</v>
      </c>
      <c r="G196" s="29">
        <v>21</v>
      </c>
      <c r="H196" s="27">
        <v>62</v>
      </c>
      <c r="I196" s="27">
        <v>67</v>
      </c>
      <c r="J196" s="27">
        <v>87</v>
      </c>
      <c r="K196" s="27">
        <v>123</v>
      </c>
      <c r="L196" s="27"/>
      <c r="M196" s="32">
        <f t="shared" si="35"/>
        <v>277</v>
      </c>
      <c r="N196" s="32" t="s">
        <v>1330</v>
      </c>
      <c r="O196" s="32"/>
      <c r="P196" s="42">
        <f t="shared" si="36"/>
        <v>276.98099999999999</v>
      </c>
      <c r="Q196" s="32">
        <f t="shared" si="37"/>
        <v>5</v>
      </c>
      <c r="R196" s="32">
        <f t="shared" ca="1" si="38"/>
        <v>0</v>
      </c>
      <c r="S196" s="33" t="s">
        <v>180</v>
      </c>
      <c r="T196" s="34">
        <f t="shared" si="39"/>
        <v>0</v>
      </c>
      <c r="U196" s="34">
        <f t="shared" ca="1" si="40"/>
        <v>123</v>
      </c>
      <c r="V196" s="34">
        <f>-SUMPRODUCT((S$6:S195=S196)*(X$6:X195=X196))</f>
        <v>0</v>
      </c>
      <c r="W196" s="34">
        <f>-SUMPRODUCT((S$6:S195=S196)*(X$6:X195=X196)*(B$6:B195&lt;&gt;"NS"))</f>
        <v>0</v>
      </c>
      <c r="X196" s="35">
        <f t="shared" si="41"/>
        <v>277.13236999999998</v>
      </c>
      <c r="Y196" s="27">
        <v>123</v>
      </c>
      <c r="Z196" s="27">
        <v>87</v>
      </c>
      <c r="AA196" s="27">
        <v>67</v>
      </c>
      <c r="AB196" s="27">
        <v>62</v>
      </c>
      <c r="AC196" s="29">
        <v>21</v>
      </c>
      <c r="AD196" s="27"/>
      <c r="AF196" s="36">
        <v>0</v>
      </c>
      <c r="AG196" s="36">
        <v>0</v>
      </c>
      <c r="AH196" s="36">
        <v>0</v>
      </c>
      <c r="AI196" s="36">
        <v>0</v>
      </c>
      <c r="AJ196" s="37">
        <v>4</v>
      </c>
      <c r="AK196" s="67">
        <v>216.00913699999998</v>
      </c>
      <c r="AL196" s="39">
        <v>87</v>
      </c>
      <c r="AM196" s="32">
        <v>241</v>
      </c>
      <c r="AN196" s="39"/>
      <c r="AO196" s="39"/>
      <c r="AP196" s="39"/>
      <c r="AQ196" s="30"/>
      <c r="AR196" s="26"/>
      <c r="AS196" s="1"/>
    </row>
    <row r="197" spans="1:45" ht="15">
      <c r="A197" s="61">
        <v>21</v>
      </c>
      <c r="B197" s="61">
        <v>21</v>
      </c>
      <c r="C197" s="40">
        <f t="shared" si="34"/>
        <v>21</v>
      </c>
      <c r="D197" s="40">
        <f t="shared" si="34"/>
        <v>21</v>
      </c>
      <c r="E197" s="1" t="s">
        <v>836</v>
      </c>
      <c r="F197" s="29" t="s">
        <v>118</v>
      </c>
      <c r="G197" s="29">
        <v>132</v>
      </c>
      <c r="H197" s="27">
        <v>131</v>
      </c>
      <c r="I197" s="27"/>
      <c r="J197" s="27"/>
      <c r="K197" s="27"/>
      <c r="L197" s="27"/>
      <c r="M197" s="32">
        <f t="shared" si="35"/>
        <v>263</v>
      </c>
      <c r="N197" s="32" t="s">
        <v>1330</v>
      </c>
      <c r="O197" s="32"/>
      <c r="P197" s="42">
        <f t="shared" si="36"/>
        <v>262.98090000000002</v>
      </c>
      <c r="Q197" s="32">
        <f t="shared" si="37"/>
        <v>2</v>
      </c>
      <c r="R197" s="32">
        <f t="shared" ca="1" si="38"/>
        <v>0</v>
      </c>
      <c r="S197" s="33" t="s">
        <v>180</v>
      </c>
      <c r="T197" s="34">
        <f t="shared" si="39"/>
        <v>0</v>
      </c>
      <c r="U197" s="34">
        <f t="shared" ca="1" si="40"/>
        <v>0</v>
      </c>
      <c r="V197" s="34">
        <f>-SUMPRODUCT((S$6:S196=S197)*(X$6:X196=X197))</f>
        <v>0</v>
      </c>
      <c r="W197" s="34">
        <f>-SUMPRODUCT((S$6:S196=S197)*(X$6:X196=X197)*(B$6:B196&lt;&gt;"NS"))</f>
        <v>0</v>
      </c>
      <c r="X197" s="35">
        <f t="shared" si="41"/>
        <v>263.14510000000001</v>
      </c>
      <c r="Y197" s="29">
        <v>132</v>
      </c>
      <c r="Z197" s="27">
        <v>131</v>
      </c>
      <c r="AA197" s="27"/>
      <c r="AB197" s="27"/>
      <c r="AC197" s="27"/>
      <c r="AD197" s="27"/>
      <c r="AF197" s="36">
        <v>0</v>
      </c>
      <c r="AG197" s="36">
        <v>0</v>
      </c>
      <c r="AH197" s="36">
        <v>0</v>
      </c>
      <c r="AI197" s="36">
        <v>0</v>
      </c>
      <c r="AJ197" s="37">
        <v>2</v>
      </c>
      <c r="AK197" s="67">
        <v>263.12650000000002</v>
      </c>
      <c r="AL197" s="39">
        <v>132</v>
      </c>
      <c r="AM197" s="32">
        <v>395</v>
      </c>
      <c r="AN197" s="39"/>
      <c r="AO197" s="39"/>
      <c r="AP197" s="39"/>
      <c r="AQ197" s="30"/>
      <c r="AR197" s="26"/>
      <c r="AS197" s="1"/>
    </row>
    <row r="198" spans="1:45" ht="15">
      <c r="A198" s="61">
        <v>22</v>
      </c>
      <c r="B198" s="61">
        <v>22</v>
      </c>
      <c r="C198" s="40">
        <f t="shared" si="34"/>
        <v>22</v>
      </c>
      <c r="D198" s="40">
        <f t="shared" si="34"/>
        <v>22</v>
      </c>
      <c r="E198" s="1" t="s">
        <v>837</v>
      </c>
      <c r="F198" s="29" t="s">
        <v>66</v>
      </c>
      <c r="G198" s="29">
        <v>120</v>
      </c>
      <c r="H198" s="27"/>
      <c r="I198" s="27">
        <v>140</v>
      </c>
      <c r="J198" s="27"/>
      <c r="K198" s="27"/>
      <c r="L198" s="27"/>
      <c r="M198" s="32">
        <f t="shared" si="35"/>
        <v>260</v>
      </c>
      <c r="N198" s="32" t="s">
        <v>1330</v>
      </c>
      <c r="O198" s="32"/>
      <c r="P198" s="42">
        <f t="shared" si="36"/>
        <v>259.98079999999999</v>
      </c>
      <c r="Q198" s="32">
        <f t="shared" si="37"/>
        <v>2</v>
      </c>
      <c r="R198" s="32">
        <f t="shared" ca="1" si="38"/>
        <v>0</v>
      </c>
      <c r="S198" s="33" t="s">
        <v>180</v>
      </c>
      <c r="T198" s="34">
        <f t="shared" si="39"/>
        <v>0</v>
      </c>
      <c r="U198" s="34">
        <f t="shared" ca="1" si="40"/>
        <v>0</v>
      </c>
      <c r="V198" s="34">
        <f>-SUMPRODUCT((S$6:S197=S198)*(X$6:X197=X198))</f>
        <v>0</v>
      </c>
      <c r="W198" s="34">
        <f>-SUMPRODUCT((S$6:S197=S198)*(X$6:X197=X198)*(B$6:B197&lt;&gt;"NS"))</f>
        <v>0</v>
      </c>
      <c r="X198" s="35">
        <f t="shared" si="41"/>
        <v>260.15199999999999</v>
      </c>
      <c r="Y198" s="27">
        <v>140</v>
      </c>
      <c r="Z198" s="29">
        <v>120</v>
      </c>
      <c r="AA198" s="27"/>
      <c r="AB198" s="27"/>
      <c r="AC198" s="27"/>
      <c r="AD198" s="27"/>
      <c r="AF198" s="36">
        <v>0</v>
      </c>
      <c r="AG198" s="36">
        <v>0</v>
      </c>
      <c r="AH198" s="36">
        <v>0</v>
      </c>
      <c r="AI198" s="36">
        <v>0</v>
      </c>
      <c r="AJ198" s="37">
        <v>2</v>
      </c>
      <c r="AK198" s="67">
        <v>260.10269999999997</v>
      </c>
      <c r="AL198" s="39">
        <v>140</v>
      </c>
      <c r="AM198" s="32">
        <v>400</v>
      </c>
      <c r="AN198" s="39"/>
      <c r="AO198" s="39"/>
      <c r="AP198" s="39"/>
      <c r="AQ198" s="30"/>
      <c r="AR198" s="26"/>
      <c r="AS198" s="1"/>
    </row>
    <row r="199" spans="1:45" ht="15">
      <c r="A199" s="61">
        <v>23</v>
      </c>
      <c r="B199" s="61">
        <v>23</v>
      </c>
      <c r="C199" s="40">
        <f t="shared" si="34"/>
        <v>23</v>
      </c>
      <c r="D199" s="40">
        <f t="shared" si="34"/>
        <v>23</v>
      </c>
      <c r="E199" s="1" t="s">
        <v>838</v>
      </c>
      <c r="F199" s="29" t="s">
        <v>38</v>
      </c>
      <c r="G199" s="29">
        <v>62</v>
      </c>
      <c r="H199" s="27">
        <v>82</v>
      </c>
      <c r="I199" s="27">
        <v>101</v>
      </c>
      <c r="J199" s="27"/>
      <c r="K199" s="27"/>
      <c r="L199" s="27"/>
      <c r="M199" s="32">
        <f t="shared" si="35"/>
        <v>245</v>
      </c>
      <c r="N199" s="32" t="s">
        <v>1330</v>
      </c>
      <c r="O199" s="32"/>
      <c r="P199" s="42">
        <f t="shared" si="36"/>
        <v>244.98070000000001</v>
      </c>
      <c r="Q199" s="32">
        <f t="shared" si="37"/>
        <v>3</v>
      </c>
      <c r="R199" s="32">
        <f t="shared" ca="1" si="38"/>
        <v>0</v>
      </c>
      <c r="S199" s="33" t="s">
        <v>180</v>
      </c>
      <c r="T199" s="34">
        <f t="shared" si="39"/>
        <v>0</v>
      </c>
      <c r="U199" s="34">
        <f t="shared" ca="1" si="40"/>
        <v>0</v>
      </c>
      <c r="V199" s="34">
        <f>-SUMPRODUCT((S$6:S198=S199)*(X$6:X198=X199))</f>
        <v>0</v>
      </c>
      <c r="W199" s="34">
        <f>-SUMPRODUCT((S$6:S198=S199)*(X$6:X198=X199)*(B$6:B198&lt;&gt;"NS"))</f>
        <v>0</v>
      </c>
      <c r="X199" s="35">
        <f t="shared" si="41"/>
        <v>245.10982000000001</v>
      </c>
      <c r="Y199" s="27">
        <v>101</v>
      </c>
      <c r="Z199" s="27">
        <v>82</v>
      </c>
      <c r="AA199" s="29">
        <v>62</v>
      </c>
      <c r="AB199" s="27"/>
      <c r="AC199" s="27"/>
      <c r="AD199" s="27"/>
      <c r="AF199" s="36">
        <v>0</v>
      </c>
      <c r="AG199" s="36">
        <v>0</v>
      </c>
      <c r="AH199" s="36">
        <v>0</v>
      </c>
      <c r="AI199" s="36">
        <v>0</v>
      </c>
      <c r="AJ199" s="37">
        <v>3</v>
      </c>
      <c r="AK199" s="67">
        <v>245.05241000000001</v>
      </c>
      <c r="AL199" s="39">
        <v>101</v>
      </c>
      <c r="AM199" s="32">
        <v>284</v>
      </c>
      <c r="AN199" s="39"/>
      <c r="AO199" s="39"/>
      <c r="AP199" s="39"/>
      <c r="AQ199" s="30"/>
      <c r="AR199" s="26"/>
      <c r="AS199" s="1"/>
    </row>
    <row r="200" spans="1:45" ht="15">
      <c r="A200" s="61">
        <v>24</v>
      </c>
      <c r="B200" s="61">
        <v>24</v>
      </c>
      <c r="C200" s="40">
        <f t="shared" si="34"/>
        <v>24</v>
      </c>
      <c r="D200" s="40">
        <f t="shared" si="34"/>
        <v>24</v>
      </c>
      <c r="E200" s="1" t="s">
        <v>325</v>
      </c>
      <c r="F200" s="29" t="s">
        <v>88</v>
      </c>
      <c r="G200" s="29"/>
      <c r="H200" s="27"/>
      <c r="I200" s="27"/>
      <c r="J200" s="27">
        <v>103</v>
      </c>
      <c r="K200" s="27">
        <v>135</v>
      </c>
      <c r="L200" s="27"/>
      <c r="M200" s="32">
        <f t="shared" si="35"/>
        <v>238</v>
      </c>
      <c r="N200" s="32" t="s">
        <v>1330</v>
      </c>
      <c r="O200" s="32"/>
      <c r="P200" s="42">
        <f t="shared" si="36"/>
        <v>237.98060000000001</v>
      </c>
      <c r="Q200" s="32">
        <f t="shared" si="37"/>
        <v>2</v>
      </c>
      <c r="R200" s="32">
        <f t="shared" ca="1" si="38"/>
        <v>0</v>
      </c>
      <c r="S200" s="33" t="s">
        <v>180</v>
      </c>
      <c r="T200" s="34">
        <f t="shared" si="39"/>
        <v>0</v>
      </c>
      <c r="U200" s="34">
        <f t="shared" ca="1" si="40"/>
        <v>135</v>
      </c>
      <c r="V200" s="34">
        <f>-SUMPRODUCT((S$6:S199=S200)*(X$6:X199=X200))</f>
        <v>0</v>
      </c>
      <c r="W200" s="34">
        <f>-SUMPRODUCT((S$6:S199=S200)*(X$6:X199=X200)*(B$6:B199&lt;&gt;"NS"))</f>
        <v>0</v>
      </c>
      <c r="X200" s="35">
        <f t="shared" si="41"/>
        <v>238.14529999999999</v>
      </c>
      <c r="Y200" s="27">
        <v>135</v>
      </c>
      <c r="Z200" s="27">
        <v>103</v>
      </c>
      <c r="AA200" s="29"/>
      <c r="AB200" s="27"/>
      <c r="AC200" s="27"/>
      <c r="AD200" s="27"/>
      <c r="AF200" s="36">
        <v>0</v>
      </c>
      <c r="AG200" s="36">
        <v>0</v>
      </c>
      <c r="AH200" s="36">
        <v>0</v>
      </c>
      <c r="AI200" s="36">
        <v>0</v>
      </c>
      <c r="AJ200" s="37">
        <v>1</v>
      </c>
      <c r="AK200" s="67">
        <v>102.98033</v>
      </c>
      <c r="AL200" s="39">
        <v>103</v>
      </c>
      <c r="AM200" s="32">
        <v>206</v>
      </c>
      <c r="AN200" s="39"/>
      <c r="AO200" s="39"/>
      <c r="AP200" s="39"/>
      <c r="AQ200" s="30"/>
      <c r="AR200" s="26"/>
      <c r="AS200" s="1"/>
    </row>
    <row r="201" spans="1:45" ht="15">
      <c r="A201" s="61">
        <v>25</v>
      </c>
      <c r="B201" s="61">
        <v>25</v>
      </c>
      <c r="C201" s="40">
        <f t="shared" si="34"/>
        <v>25</v>
      </c>
      <c r="D201" s="40">
        <f t="shared" si="34"/>
        <v>25</v>
      </c>
      <c r="E201" s="1" t="s">
        <v>342</v>
      </c>
      <c r="F201" s="29" t="s">
        <v>103</v>
      </c>
      <c r="G201" s="29">
        <v>29</v>
      </c>
      <c r="H201" s="27"/>
      <c r="I201" s="27">
        <v>87</v>
      </c>
      <c r="J201" s="27"/>
      <c r="K201" s="27">
        <v>122</v>
      </c>
      <c r="L201" s="27"/>
      <c r="M201" s="32">
        <f t="shared" si="35"/>
        <v>238</v>
      </c>
      <c r="N201" s="32" t="s">
        <v>1330</v>
      </c>
      <c r="O201" s="32"/>
      <c r="P201" s="42">
        <f t="shared" si="36"/>
        <v>237.98050000000001</v>
      </c>
      <c r="Q201" s="32">
        <f t="shared" si="37"/>
        <v>3</v>
      </c>
      <c r="R201" s="32">
        <f t="shared" ca="1" si="38"/>
        <v>0</v>
      </c>
      <c r="S201" s="33" t="s">
        <v>180</v>
      </c>
      <c r="T201" s="34">
        <f t="shared" si="39"/>
        <v>0</v>
      </c>
      <c r="U201" s="34">
        <f t="shared" ca="1" si="40"/>
        <v>122</v>
      </c>
      <c r="V201" s="34">
        <f>-SUMPRODUCT((S$6:S200=S201)*(X$6:X200=X201))</f>
        <v>0</v>
      </c>
      <c r="W201" s="34">
        <f>-SUMPRODUCT((S$6:S200=S201)*(X$6:X200=X201)*(B$6:B200&lt;&gt;"NS"))</f>
        <v>0</v>
      </c>
      <c r="X201" s="35">
        <f t="shared" si="41"/>
        <v>238.13099</v>
      </c>
      <c r="Y201" s="27">
        <v>122</v>
      </c>
      <c r="Z201" s="27">
        <v>87</v>
      </c>
      <c r="AA201" s="29">
        <v>29</v>
      </c>
      <c r="AB201" s="27"/>
      <c r="AC201" s="27"/>
      <c r="AD201" s="27"/>
      <c r="AF201" s="36">
        <v>0</v>
      </c>
      <c r="AG201" s="36">
        <v>0</v>
      </c>
      <c r="AH201" s="36">
        <v>0</v>
      </c>
      <c r="AI201" s="36">
        <v>0</v>
      </c>
      <c r="AJ201" s="37">
        <v>2</v>
      </c>
      <c r="AK201" s="67">
        <v>116.00947000000001</v>
      </c>
      <c r="AL201" s="39">
        <v>87</v>
      </c>
      <c r="AM201" s="32">
        <v>203</v>
      </c>
      <c r="AN201" s="39"/>
      <c r="AO201" s="39"/>
      <c r="AP201" s="39"/>
      <c r="AQ201" s="30"/>
      <c r="AR201" s="26"/>
      <c r="AS201" s="1"/>
    </row>
    <row r="202" spans="1:45" ht="15">
      <c r="A202" s="61">
        <v>26</v>
      </c>
      <c r="B202" s="61">
        <v>26</v>
      </c>
      <c r="C202" s="40">
        <f t="shared" si="34"/>
        <v>26</v>
      </c>
      <c r="D202" s="40">
        <f t="shared" si="34"/>
        <v>26</v>
      </c>
      <c r="E202" s="1" t="s">
        <v>839</v>
      </c>
      <c r="F202" s="29" t="s">
        <v>38</v>
      </c>
      <c r="G202" s="29">
        <v>88</v>
      </c>
      <c r="H202" s="27">
        <v>132</v>
      </c>
      <c r="I202" s="27"/>
      <c r="J202" s="27"/>
      <c r="K202" s="27"/>
      <c r="L202" s="27"/>
      <c r="M202" s="32">
        <f t="shared" si="35"/>
        <v>220</v>
      </c>
      <c r="N202" s="32" t="s">
        <v>1330</v>
      </c>
      <c r="O202" s="32"/>
      <c r="P202" s="42">
        <f t="shared" si="36"/>
        <v>219.9804</v>
      </c>
      <c r="Q202" s="32">
        <f t="shared" si="37"/>
        <v>2</v>
      </c>
      <c r="R202" s="32">
        <f t="shared" ca="1" si="38"/>
        <v>0</v>
      </c>
      <c r="S202" s="33" t="s">
        <v>180</v>
      </c>
      <c r="T202" s="34">
        <f t="shared" si="39"/>
        <v>0</v>
      </c>
      <c r="U202" s="34">
        <f t="shared" ca="1" si="40"/>
        <v>0</v>
      </c>
      <c r="V202" s="34">
        <f>-SUMPRODUCT((S$6:S201=S202)*(X$6:X201=X202))</f>
        <v>0</v>
      </c>
      <c r="W202" s="34">
        <f>-SUMPRODUCT((S$6:S201=S202)*(X$6:X201=X202)*(B$6:B201&lt;&gt;"NS"))</f>
        <v>0</v>
      </c>
      <c r="X202" s="35">
        <f t="shared" si="41"/>
        <v>220.14080000000001</v>
      </c>
      <c r="Y202" s="27">
        <v>132</v>
      </c>
      <c r="Z202" s="29">
        <v>88</v>
      </c>
      <c r="AA202" s="27"/>
      <c r="AB202" s="27"/>
      <c r="AC202" s="27"/>
      <c r="AD202" s="27"/>
      <c r="AF202" s="36" t="s">
        <v>1339</v>
      </c>
      <c r="AG202" s="36">
        <v>0</v>
      </c>
      <c r="AH202" s="36">
        <v>0</v>
      </c>
      <c r="AI202" s="36">
        <v>0</v>
      </c>
      <c r="AJ202" s="37">
        <v>2</v>
      </c>
      <c r="AK202" s="67">
        <v>220.0823</v>
      </c>
      <c r="AL202" s="39">
        <v>132</v>
      </c>
      <c r="AM202" s="32">
        <v>352</v>
      </c>
      <c r="AN202" s="39"/>
      <c r="AO202" s="39"/>
      <c r="AP202" s="39"/>
      <c r="AQ202" s="30"/>
      <c r="AR202" s="26"/>
      <c r="AS202" s="1"/>
    </row>
    <row r="203" spans="1:45" ht="15">
      <c r="A203" s="61">
        <v>27</v>
      </c>
      <c r="B203" s="61">
        <v>27</v>
      </c>
      <c r="C203" s="40">
        <f t="shared" si="34"/>
        <v>27</v>
      </c>
      <c r="D203" s="40">
        <f t="shared" si="34"/>
        <v>27</v>
      </c>
      <c r="E203" s="1" t="s">
        <v>840</v>
      </c>
      <c r="F203" s="29" t="s">
        <v>25</v>
      </c>
      <c r="G203" s="29"/>
      <c r="H203" s="27">
        <v>113</v>
      </c>
      <c r="I203" s="27">
        <v>99</v>
      </c>
      <c r="J203" s="27"/>
      <c r="K203" s="27"/>
      <c r="L203" s="27"/>
      <c r="M203" s="32">
        <f t="shared" si="35"/>
        <v>212</v>
      </c>
      <c r="N203" s="32" t="s">
        <v>1330</v>
      </c>
      <c r="O203" s="32"/>
      <c r="P203" s="42">
        <f t="shared" si="36"/>
        <v>211.9803</v>
      </c>
      <c r="Q203" s="32">
        <f t="shared" si="37"/>
        <v>2</v>
      </c>
      <c r="R203" s="32">
        <f t="shared" ca="1" si="38"/>
        <v>0</v>
      </c>
      <c r="S203" s="33" t="s">
        <v>180</v>
      </c>
      <c r="T203" s="34">
        <f t="shared" si="39"/>
        <v>0</v>
      </c>
      <c r="U203" s="34">
        <f t="shared" ca="1" si="40"/>
        <v>0</v>
      </c>
      <c r="V203" s="34">
        <f>-SUMPRODUCT((S$6:S202=S203)*(X$6:X202=X203))</f>
        <v>0</v>
      </c>
      <c r="W203" s="34">
        <f>-SUMPRODUCT((S$6:S202=S203)*(X$6:X202=X203)*(B$6:B202&lt;&gt;"NS"))</f>
        <v>0</v>
      </c>
      <c r="X203" s="35">
        <f t="shared" si="41"/>
        <v>212.12289999999999</v>
      </c>
      <c r="Y203" s="27">
        <v>113</v>
      </c>
      <c r="Z203" s="27">
        <v>99</v>
      </c>
      <c r="AA203" s="29"/>
      <c r="AB203" s="27"/>
      <c r="AC203" s="27"/>
      <c r="AD203" s="27"/>
      <c r="AF203" s="36">
        <v>0</v>
      </c>
      <c r="AG203" s="36">
        <v>0</v>
      </c>
      <c r="AH203" s="36">
        <v>0</v>
      </c>
      <c r="AI203" s="36">
        <v>0</v>
      </c>
      <c r="AJ203" s="37">
        <v>2</v>
      </c>
      <c r="AK203" s="67">
        <v>211.99319</v>
      </c>
      <c r="AL203" s="39">
        <v>113</v>
      </c>
      <c r="AM203" s="32">
        <v>325</v>
      </c>
      <c r="AN203" s="39"/>
      <c r="AO203" s="39"/>
      <c r="AP203" s="39"/>
      <c r="AQ203" s="30"/>
      <c r="AR203" s="26"/>
      <c r="AS203" s="1"/>
    </row>
    <row r="204" spans="1:45" ht="15">
      <c r="A204" s="61">
        <v>28</v>
      </c>
      <c r="B204" s="61">
        <v>28</v>
      </c>
      <c r="C204" s="40">
        <f t="shared" si="34"/>
        <v>28</v>
      </c>
      <c r="D204" s="40">
        <f t="shared" si="34"/>
        <v>28</v>
      </c>
      <c r="E204" s="1" t="s">
        <v>841</v>
      </c>
      <c r="F204" s="29" t="s">
        <v>66</v>
      </c>
      <c r="G204" s="29">
        <v>41</v>
      </c>
      <c r="H204" s="27">
        <v>95</v>
      </c>
      <c r="I204" s="27">
        <v>75</v>
      </c>
      <c r="J204" s="27"/>
      <c r="K204" s="27"/>
      <c r="L204" s="27"/>
      <c r="M204" s="32">
        <f t="shared" si="35"/>
        <v>211</v>
      </c>
      <c r="N204" s="32" t="s">
        <v>1330</v>
      </c>
      <c r="O204" s="32"/>
      <c r="P204" s="42">
        <f t="shared" si="36"/>
        <v>210.9802</v>
      </c>
      <c r="Q204" s="32">
        <f t="shared" si="37"/>
        <v>3</v>
      </c>
      <c r="R204" s="32">
        <f t="shared" ca="1" si="38"/>
        <v>0</v>
      </c>
      <c r="S204" s="33" t="s">
        <v>180</v>
      </c>
      <c r="T204" s="34">
        <f t="shared" si="39"/>
        <v>0</v>
      </c>
      <c r="U204" s="34">
        <f t="shared" ca="1" si="40"/>
        <v>0</v>
      </c>
      <c r="V204" s="34">
        <f>-SUMPRODUCT((S$6:S203=S204)*(X$6:X203=X204))</f>
        <v>0</v>
      </c>
      <c r="W204" s="34">
        <f>-SUMPRODUCT((S$6:S203=S204)*(X$6:X203=X204)*(B$6:B203&lt;&gt;"NS"))</f>
        <v>0</v>
      </c>
      <c r="X204" s="35">
        <f t="shared" si="41"/>
        <v>211.10291000000001</v>
      </c>
      <c r="Y204" s="27">
        <v>95</v>
      </c>
      <c r="Z204" s="27">
        <v>75</v>
      </c>
      <c r="AA204" s="29">
        <v>41</v>
      </c>
      <c r="AB204" s="27"/>
      <c r="AC204" s="27"/>
      <c r="AD204" s="27"/>
      <c r="AF204" s="36">
        <v>0</v>
      </c>
      <c r="AG204" s="36">
        <v>0</v>
      </c>
      <c r="AH204" s="36">
        <v>0</v>
      </c>
      <c r="AI204" s="36">
        <v>0</v>
      </c>
      <c r="AJ204" s="37">
        <v>3</v>
      </c>
      <c r="AK204" s="67">
        <v>211.03205</v>
      </c>
      <c r="AL204" s="39">
        <v>95</v>
      </c>
      <c r="AM204" s="32">
        <v>265</v>
      </c>
      <c r="AN204" s="39"/>
      <c r="AO204" s="39"/>
      <c r="AP204" s="39"/>
      <c r="AQ204" s="30"/>
      <c r="AR204" s="26"/>
      <c r="AS204" s="1"/>
    </row>
    <row r="205" spans="1:45" ht="15">
      <c r="A205" s="61">
        <v>29</v>
      </c>
      <c r="B205" s="61">
        <v>29</v>
      </c>
      <c r="C205" s="40">
        <f t="shared" si="34"/>
        <v>29</v>
      </c>
      <c r="D205" s="40">
        <f t="shared" si="34"/>
        <v>29</v>
      </c>
      <c r="E205" s="1" t="s">
        <v>842</v>
      </c>
      <c r="F205" s="29" t="s">
        <v>84</v>
      </c>
      <c r="G205" s="29">
        <v>98</v>
      </c>
      <c r="H205" s="27">
        <v>112</v>
      </c>
      <c r="I205" s="27"/>
      <c r="J205" s="27"/>
      <c r="K205" s="27"/>
      <c r="L205" s="27"/>
      <c r="M205" s="32">
        <f t="shared" si="35"/>
        <v>210</v>
      </c>
      <c r="N205" s="32" t="s">
        <v>1330</v>
      </c>
      <c r="O205" s="32"/>
      <c r="P205" s="42">
        <f t="shared" si="36"/>
        <v>209.98009999999999</v>
      </c>
      <c r="Q205" s="32">
        <f t="shared" si="37"/>
        <v>2</v>
      </c>
      <c r="R205" s="32">
        <f t="shared" ca="1" si="38"/>
        <v>0</v>
      </c>
      <c r="S205" s="33" t="s">
        <v>180</v>
      </c>
      <c r="T205" s="34">
        <f t="shared" si="39"/>
        <v>0</v>
      </c>
      <c r="U205" s="34">
        <f t="shared" ca="1" si="40"/>
        <v>0</v>
      </c>
      <c r="V205" s="34">
        <f>-SUMPRODUCT((S$6:S204=S205)*(X$6:X204=X205))</f>
        <v>0</v>
      </c>
      <c r="W205" s="34">
        <f>-SUMPRODUCT((S$6:S204=S205)*(X$6:X204=X205)*(B$6:B204&lt;&gt;"NS"))</f>
        <v>0</v>
      </c>
      <c r="X205" s="35">
        <f t="shared" si="41"/>
        <v>210.12180000000001</v>
      </c>
      <c r="Y205" s="27">
        <v>112</v>
      </c>
      <c r="Z205" s="29">
        <v>98</v>
      </c>
      <c r="AA205" s="27"/>
      <c r="AB205" s="27"/>
      <c r="AC205" s="27"/>
      <c r="AD205" s="27"/>
      <c r="AF205" s="36">
        <v>0</v>
      </c>
      <c r="AG205" s="36">
        <v>0</v>
      </c>
      <c r="AH205" s="36">
        <v>0</v>
      </c>
      <c r="AI205" s="36">
        <v>0</v>
      </c>
      <c r="AJ205" s="37">
        <v>2</v>
      </c>
      <c r="AK205" s="67">
        <v>210.08990000000003</v>
      </c>
      <c r="AL205" s="39">
        <v>112</v>
      </c>
      <c r="AM205" s="32">
        <v>322</v>
      </c>
      <c r="AN205" s="39"/>
      <c r="AO205" s="39"/>
      <c r="AP205" s="39"/>
      <c r="AQ205" s="30"/>
      <c r="AR205" s="26"/>
      <c r="AS205" s="1"/>
    </row>
    <row r="206" spans="1:45" ht="15">
      <c r="A206" s="61">
        <v>30</v>
      </c>
      <c r="B206" s="61">
        <v>30</v>
      </c>
      <c r="C206" s="40">
        <f t="shared" si="34"/>
        <v>30</v>
      </c>
      <c r="D206" s="40">
        <f t="shared" si="34"/>
        <v>30</v>
      </c>
      <c r="E206" s="1" t="s">
        <v>348</v>
      </c>
      <c r="F206" s="29" t="s">
        <v>88</v>
      </c>
      <c r="G206" s="29">
        <v>14</v>
      </c>
      <c r="H206" s="27">
        <v>59</v>
      </c>
      <c r="I206" s="27"/>
      <c r="J206" s="27"/>
      <c r="K206" s="27">
        <v>118</v>
      </c>
      <c r="L206" s="27"/>
      <c r="M206" s="32">
        <f t="shared" si="35"/>
        <v>191</v>
      </c>
      <c r="N206" s="32" t="s">
        <v>1330</v>
      </c>
      <c r="O206" s="32"/>
      <c r="P206" s="42">
        <f t="shared" si="36"/>
        <v>190.98</v>
      </c>
      <c r="Q206" s="32">
        <f t="shared" si="37"/>
        <v>3</v>
      </c>
      <c r="R206" s="32">
        <f t="shared" ca="1" si="38"/>
        <v>0</v>
      </c>
      <c r="S206" s="33" t="s">
        <v>180</v>
      </c>
      <c r="T206" s="34">
        <f t="shared" si="39"/>
        <v>0</v>
      </c>
      <c r="U206" s="34">
        <f t="shared" ca="1" si="40"/>
        <v>118</v>
      </c>
      <c r="V206" s="34">
        <f>-SUMPRODUCT((S$6:S205=S206)*(X$6:X205=X206))</f>
        <v>0</v>
      </c>
      <c r="W206" s="34">
        <f>-SUMPRODUCT((S$6:S205=S206)*(X$6:X205=X206)*(B$6:B205&lt;&gt;"NS"))</f>
        <v>0</v>
      </c>
      <c r="X206" s="35">
        <f t="shared" si="41"/>
        <v>191.12404000000001</v>
      </c>
      <c r="Y206" s="27">
        <v>118</v>
      </c>
      <c r="Z206" s="27">
        <v>59</v>
      </c>
      <c r="AA206" s="29">
        <v>14</v>
      </c>
      <c r="AB206" s="27"/>
      <c r="AC206" s="27"/>
      <c r="AD206" s="27"/>
      <c r="AF206" s="36">
        <v>0</v>
      </c>
      <c r="AG206" s="36">
        <v>0</v>
      </c>
      <c r="AH206" s="36">
        <v>0</v>
      </c>
      <c r="AI206" s="36">
        <v>0</v>
      </c>
      <c r="AJ206" s="37">
        <v>2</v>
      </c>
      <c r="AK206" s="67">
        <v>72.998699999999999</v>
      </c>
      <c r="AL206" s="39">
        <v>59</v>
      </c>
      <c r="AM206" s="32">
        <v>132</v>
      </c>
      <c r="AN206" s="39"/>
      <c r="AO206" s="39"/>
      <c r="AP206" s="39"/>
      <c r="AQ206" s="30"/>
      <c r="AR206" s="26"/>
      <c r="AS206" s="1"/>
    </row>
    <row r="207" spans="1:45" ht="15">
      <c r="A207" s="61">
        <v>31</v>
      </c>
      <c r="B207" s="61">
        <v>31</v>
      </c>
      <c r="C207" s="40">
        <f t="shared" si="34"/>
        <v>31</v>
      </c>
      <c r="D207" s="40">
        <f t="shared" si="34"/>
        <v>31</v>
      </c>
      <c r="E207" s="1" t="s">
        <v>843</v>
      </c>
      <c r="F207" s="29" t="s">
        <v>118</v>
      </c>
      <c r="G207" s="29"/>
      <c r="H207" s="27">
        <v>179</v>
      </c>
      <c r="I207" s="27"/>
      <c r="J207" s="27"/>
      <c r="K207" s="27"/>
      <c r="L207" s="27"/>
      <c r="M207" s="32">
        <f t="shared" si="35"/>
        <v>179</v>
      </c>
      <c r="N207" s="32" t="s">
        <v>1330</v>
      </c>
      <c r="O207" s="32"/>
      <c r="P207" s="42">
        <f t="shared" si="36"/>
        <v>178.97989999999999</v>
      </c>
      <c r="Q207" s="32">
        <f t="shared" si="37"/>
        <v>1</v>
      </c>
      <c r="R207" s="32">
        <f t="shared" ca="1" si="38"/>
        <v>0</v>
      </c>
      <c r="S207" s="33" t="s">
        <v>180</v>
      </c>
      <c r="T207" s="34">
        <f t="shared" si="39"/>
        <v>0</v>
      </c>
      <c r="U207" s="34">
        <f t="shared" ca="1" si="40"/>
        <v>0</v>
      </c>
      <c r="V207" s="34">
        <f>-SUMPRODUCT((S$6:S206=S207)*(X$6:X206=X207))</f>
        <v>0</v>
      </c>
      <c r="W207" s="34">
        <f>-SUMPRODUCT((S$6:S206=S207)*(X$6:X206=X207)*(B$6:B206&lt;&gt;"NS"))</f>
        <v>0</v>
      </c>
      <c r="X207" s="35">
        <f t="shared" si="41"/>
        <v>179.179</v>
      </c>
      <c r="Y207" s="27">
        <v>179</v>
      </c>
      <c r="Z207" s="29"/>
      <c r="AA207" s="27"/>
      <c r="AB207" s="27"/>
      <c r="AC207" s="27"/>
      <c r="AD207" s="27"/>
      <c r="AF207" s="36">
        <v>0</v>
      </c>
      <c r="AG207" s="36">
        <v>0</v>
      </c>
      <c r="AH207" s="36">
        <v>0</v>
      </c>
      <c r="AI207" s="36">
        <v>0</v>
      </c>
      <c r="AJ207" s="37">
        <v>1</v>
      </c>
      <c r="AK207" s="67">
        <v>178.9984</v>
      </c>
      <c r="AL207" s="39">
        <v>179</v>
      </c>
      <c r="AM207" s="32">
        <v>358</v>
      </c>
      <c r="AN207" s="39"/>
      <c r="AO207" s="39"/>
      <c r="AP207" s="39"/>
      <c r="AQ207" s="30"/>
      <c r="AR207" s="26"/>
      <c r="AS207" s="1"/>
    </row>
    <row r="208" spans="1:45" ht="15">
      <c r="A208" s="61">
        <v>32</v>
      </c>
      <c r="B208" s="61">
        <v>32</v>
      </c>
      <c r="C208" s="40">
        <f t="shared" si="34"/>
        <v>32</v>
      </c>
      <c r="D208" s="40">
        <f t="shared" si="34"/>
        <v>32</v>
      </c>
      <c r="E208" s="1" t="s">
        <v>844</v>
      </c>
      <c r="F208" s="29" t="s">
        <v>47</v>
      </c>
      <c r="G208" s="29">
        <v>173</v>
      </c>
      <c r="H208" s="27"/>
      <c r="I208" s="27"/>
      <c r="J208" s="27"/>
      <c r="K208" s="27"/>
      <c r="L208" s="27"/>
      <c r="M208" s="32">
        <f t="shared" si="35"/>
        <v>173</v>
      </c>
      <c r="N208" s="32" t="s">
        <v>1330</v>
      </c>
      <c r="O208" s="32"/>
      <c r="P208" s="42">
        <f t="shared" si="36"/>
        <v>172.97980000000001</v>
      </c>
      <c r="Q208" s="32">
        <f t="shared" si="37"/>
        <v>1</v>
      </c>
      <c r="R208" s="32">
        <f t="shared" ca="1" si="38"/>
        <v>0</v>
      </c>
      <c r="S208" s="33" t="s">
        <v>180</v>
      </c>
      <c r="T208" s="34">
        <f t="shared" si="39"/>
        <v>0</v>
      </c>
      <c r="U208" s="34">
        <f t="shared" ca="1" si="40"/>
        <v>0</v>
      </c>
      <c r="V208" s="34">
        <f>-SUMPRODUCT((S$6:S207=S208)*(X$6:X207=X208))</f>
        <v>0</v>
      </c>
      <c r="W208" s="34">
        <f>-SUMPRODUCT((S$6:S207=S208)*(X$6:X207=X208)*(B$6:B207&lt;&gt;"NS"))</f>
        <v>0</v>
      </c>
      <c r="X208" s="35">
        <f t="shared" si="41"/>
        <v>173.173</v>
      </c>
      <c r="Y208" s="29">
        <v>173</v>
      </c>
      <c r="Z208" s="27"/>
      <c r="AA208" s="27"/>
      <c r="AB208" s="27"/>
      <c r="AC208" s="27"/>
      <c r="AD208" s="27"/>
      <c r="AF208" s="36">
        <v>0</v>
      </c>
      <c r="AG208" s="36">
        <v>0</v>
      </c>
      <c r="AH208" s="36">
        <v>0</v>
      </c>
      <c r="AI208" s="36">
        <v>0</v>
      </c>
      <c r="AJ208" s="37">
        <v>1</v>
      </c>
      <c r="AK208" s="67">
        <v>173.1534</v>
      </c>
      <c r="AL208" s="39">
        <v>173</v>
      </c>
      <c r="AM208" s="32">
        <v>346</v>
      </c>
      <c r="AN208" s="39"/>
      <c r="AO208" s="39"/>
      <c r="AP208" s="39"/>
      <c r="AQ208" s="30"/>
      <c r="AR208" s="26"/>
      <c r="AS208" s="1"/>
    </row>
    <row r="209" spans="1:45" ht="15">
      <c r="A209" s="61">
        <v>33</v>
      </c>
      <c r="B209" s="61">
        <v>33</v>
      </c>
      <c r="C209" s="40">
        <f t="shared" si="34"/>
        <v>33</v>
      </c>
      <c r="D209" s="40">
        <f t="shared" si="34"/>
        <v>33</v>
      </c>
      <c r="E209" s="1" t="s">
        <v>845</v>
      </c>
      <c r="F209" s="29" t="s">
        <v>38</v>
      </c>
      <c r="G209" s="29"/>
      <c r="H209" s="27"/>
      <c r="I209" s="27">
        <v>151</v>
      </c>
      <c r="J209" s="27"/>
      <c r="K209" s="27"/>
      <c r="L209" s="27"/>
      <c r="M209" s="32">
        <f t="shared" si="35"/>
        <v>151</v>
      </c>
      <c r="N209" s="32" t="s">
        <v>1330</v>
      </c>
      <c r="O209" s="32"/>
      <c r="P209" s="42">
        <f t="shared" si="36"/>
        <v>150.97970000000001</v>
      </c>
      <c r="Q209" s="32">
        <f t="shared" si="37"/>
        <v>1</v>
      </c>
      <c r="R209" s="32">
        <f t="shared" ca="1" si="38"/>
        <v>0</v>
      </c>
      <c r="S209" s="33" t="s">
        <v>180</v>
      </c>
      <c r="T209" s="34">
        <f t="shared" si="39"/>
        <v>0</v>
      </c>
      <c r="U209" s="34">
        <f t="shared" ca="1" si="40"/>
        <v>0</v>
      </c>
      <c r="V209" s="34">
        <f>-SUMPRODUCT((S$6:S208=S209)*(X$6:X208=X209))</f>
        <v>0</v>
      </c>
      <c r="W209" s="34">
        <f>-SUMPRODUCT((S$6:S208=S209)*(X$6:X208=X209)*(B$6:B208&lt;&gt;"NS"))</f>
        <v>0</v>
      </c>
      <c r="X209" s="35">
        <f t="shared" si="41"/>
        <v>151.15100000000001</v>
      </c>
      <c r="Y209" s="27">
        <v>151</v>
      </c>
      <c r="Z209" s="29"/>
      <c r="AA209" s="27"/>
      <c r="AB209" s="27"/>
      <c r="AC209" s="27"/>
      <c r="AD209" s="27"/>
      <c r="AF209" s="36">
        <v>0</v>
      </c>
      <c r="AG209" s="36">
        <v>0</v>
      </c>
      <c r="AH209" s="36">
        <v>0</v>
      </c>
      <c r="AI209" s="36">
        <v>0</v>
      </c>
      <c r="AJ209" s="37">
        <v>1</v>
      </c>
      <c r="AK209" s="67">
        <v>150.98170999999999</v>
      </c>
      <c r="AL209" s="39">
        <v>151</v>
      </c>
      <c r="AM209" s="32">
        <v>302</v>
      </c>
      <c r="AN209" s="39"/>
      <c r="AO209" s="39"/>
      <c r="AP209" s="39"/>
      <c r="AQ209" s="30"/>
      <c r="AR209" s="26"/>
      <c r="AS209" s="1"/>
    </row>
    <row r="210" spans="1:45" ht="15">
      <c r="A210" s="61">
        <v>34</v>
      </c>
      <c r="B210" s="61">
        <v>34</v>
      </c>
      <c r="C210" s="40">
        <f t="shared" si="34"/>
        <v>34</v>
      </c>
      <c r="D210" s="40">
        <f t="shared" si="34"/>
        <v>34</v>
      </c>
      <c r="E210" s="1" t="s">
        <v>846</v>
      </c>
      <c r="F210" s="29" t="s">
        <v>66</v>
      </c>
      <c r="G210" s="29"/>
      <c r="H210" s="27">
        <v>55</v>
      </c>
      <c r="I210" s="27">
        <v>92</v>
      </c>
      <c r="J210" s="27"/>
      <c r="K210" s="27"/>
      <c r="L210" s="27"/>
      <c r="M210" s="32">
        <f t="shared" si="35"/>
        <v>147</v>
      </c>
      <c r="N210" s="32" t="s">
        <v>1330</v>
      </c>
      <c r="O210" s="32"/>
      <c r="P210" s="42">
        <f t="shared" si="36"/>
        <v>146.9796</v>
      </c>
      <c r="Q210" s="32">
        <f t="shared" si="37"/>
        <v>2</v>
      </c>
      <c r="R210" s="32">
        <f t="shared" ca="1" si="38"/>
        <v>0</v>
      </c>
      <c r="S210" s="33" t="s">
        <v>180</v>
      </c>
      <c r="T210" s="34">
        <f t="shared" si="39"/>
        <v>0</v>
      </c>
      <c r="U210" s="34">
        <f t="shared" ca="1" si="40"/>
        <v>0</v>
      </c>
      <c r="V210" s="34">
        <f>-SUMPRODUCT((S$6:S209=S210)*(X$6:X209=X210))</f>
        <v>0</v>
      </c>
      <c r="W210" s="34">
        <f>-SUMPRODUCT((S$6:S209=S210)*(X$6:X209=X210)*(B$6:B209&lt;&gt;"NS"))</f>
        <v>0</v>
      </c>
      <c r="X210" s="35">
        <f t="shared" si="41"/>
        <v>147.0975</v>
      </c>
      <c r="Y210" s="27">
        <v>92</v>
      </c>
      <c r="Z210" s="27">
        <v>55</v>
      </c>
      <c r="AA210" s="29"/>
      <c r="AB210" s="27"/>
      <c r="AC210" s="27"/>
      <c r="AD210" s="27"/>
      <c r="AF210" s="36">
        <v>0</v>
      </c>
      <c r="AG210" s="36">
        <v>0</v>
      </c>
      <c r="AH210" s="36">
        <v>0</v>
      </c>
      <c r="AI210" s="36">
        <v>0</v>
      </c>
      <c r="AJ210" s="37">
        <v>2</v>
      </c>
      <c r="AK210" s="67">
        <v>146.98652000000001</v>
      </c>
      <c r="AL210" s="39">
        <v>92</v>
      </c>
      <c r="AM210" s="32">
        <v>239</v>
      </c>
      <c r="AN210" s="39"/>
      <c r="AO210" s="39"/>
      <c r="AP210" s="39"/>
      <c r="AQ210" s="30"/>
      <c r="AR210" s="26"/>
      <c r="AS210" s="1"/>
    </row>
    <row r="211" spans="1:45" ht="15">
      <c r="A211" s="61">
        <v>35</v>
      </c>
      <c r="B211" s="61">
        <v>35</v>
      </c>
      <c r="C211" s="40" t="str">
        <f t="shared" si="34"/>
        <v xml:space="preserve">=35 </v>
      </c>
      <c r="D211" s="40" t="str">
        <f t="shared" si="34"/>
        <v xml:space="preserve">=35 </v>
      </c>
      <c r="E211" s="1" t="s">
        <v>847</v>
      </c>
      <c r="F211" s="29" t="s">
        <v>162</v>
      </c>
      <c r="G211" s="29">
        <v>144</v>
      </c>
      <c r="H211" s="27"/>
      <c r="I211" s="27"/>
      <c r="J211" s="27"/>
      <c r="K211" s="27"/>
      <c r="L211" s="27"/>
      <c r="M211" s="32">
        <f t="shared" si="35"/>
        <v>144</v>
      </c>
      <c r="N211" s="32" t="s">
        <v>1330</v>
      </c>
      <c r="O211" s="32"/>
      <c r="P211" s="42">
        <f t="shared" si="36"/>
        <v>143.9795</v>
      </c>
      <c r="Q211" s="32">
        <f t="shared" si="37"/>
        <v>1</v>
      </c>
      <c r="R211" s="32">
        <f t="shared" ca="1" si="38"/>
        <v>0</v>
      </c>
      <c r="S211" s="33" t="s">
        <v>180</v>
      </c>
      <c r="T211" s="34">
        <f t="shared" si="39"/>
        <v>0</v>
      </c>
      <c r="U211" s="34">
        <f t="shared" ca="1" si="40"/>
        <v>0</v>
      </c>
      <c r="V211" s="34">
        <f>-SUMPRODUCT((S$6:S210=S211)*(X$6:X210=X211))</f>
        <v>0</v>
      </c>
      <c r="W211" s="34">
        <f>-SUMPRODUCT((S$6:S210=S211)*(X$6:X210=X211)*(B$6:B210&lt;&gt;"NS"))</f>
        <v>0</v>
      </c>
      <c r="X211" s="35">
        <f t="shared" si="41"/>
        <v>144.14400000000001</v>
      </c>
      <c r="Y211" s="29">
        <v>144</v>
      </c>
      <c r="Z211" s="27"/>
      <c r="AA211" s="27"/>
      <c r="AB211" s="27"/>
      <c r="AC211" s="27"/>
      <c r="AD211" s="27"/>
      <c r="AF211" s="36">
        <v>0</v>
      </c>
      <c r="AG211" s="36">
        <v>0</v>
      </c>
      <c r="AH211" s="36">
        <v>0</v>
      </c>
      <c r="AI211" s="36">
        <v>0</v>
      </c>
      <c r="AJ211" s="37">
        <v>1</v>
      </c>
      <c r="AK211" s="67">
        <v>144.124</v>
      </c>
      <c r="AL211" s="39">
        <v>144</v>
      </c>
      <c r="AM211" s="32">
        <v>288</v>
      </c>
      <c r="AN211" s="39"/>
      <c r="AO211" s="39"/>
      <c r="AP211" s="39"/>
      <c r="AQ211" s="30"/>
      <c r="AR211" s="26"/>
      <c r="AS211" s="1"/>
    </row>
    <row r="212" spans="1:45" ht="15">
      <c r="A212" s="61">
        <v>36</v>
      </c>
      <c r="B212" s="61">
        <v>36</v>
      </c>
      <c r="C212" s="40" t="str">
        <f t="shared" si="34"/>
        <v xml:space="preserve">=35 </v>
      </c>
      <c r="D212" s="40" t="str">
        <f t="shared" si="34"/>
        <v xml:space="preserve">=35 </v>
      </c>
      <c r="E212" s="1" t="s">
        <v>848</v>
      </c>
      <c r="F212" s="29" t="s">
        <v>47</v>
      </c>
      <c r="G212" s="29"/>
      <c r="H212" s="27"/>
      <c r="I212" s="27"/>
      <c r="J212" s="27">
        <v>144</v>
      </c>
      <c r="K212" s="27"/>
      <c r="L212" s="27"/>
      <c r="M212" s="32">
        <f t="shared" si="35"/>
        <v>144</v>
      </c>
      <c r="N212" s="32" t="s">
        <v>1330</v>
      </c>
      <c r="O212" s="32"/>
      <c r="P212" s="42">
        <f t="shared" si="36"/>
        <v>143.9794</v>
      </c>
      <c r="Q212" s="32">
        <f t="shared" si="37"/>
        <v>1</v>
      </c>
      <c r="R212" s="32">
        <f t="shared" ca="1" si="38"/>
        <v>0</v>
      </c>
      <c r="S212" s="33" t="s">
        <v>180</v>
      </c>
      <c r="T212" s="34">
        <f t="shared" si="39"/>
        <v>0</v>
      </c>
      <c r="U212" s="34">
        <f t="shared" ca="1" si="40"/>
        <v>0</v>
      </c>
      <c r="V212" s="34">
        <f>-SUMPRODUCT((S$6:S211=S212)*(X$6:X211=X212))</f>
        <v>-1</v>
      </c>
      <c r="W212" s="34">
        <f>-SUMPRODUCT((S$6:S211=S212)*(X$6:X211=X212)*(B$6:B211&lt;&gt;"NS"))</f>
        <v>-1</v>
      </c>
      <c r="X212" s="35">
        <f t="shared" si="41"/>
        <v>144.14400000000001</v>
      </c>
      <c r="Y212" s="27">
        <v>144</v>
      </c>
      <c r="Z212" s="29"/>
      <c r="AA212" s="27"/>
      <c r="AB212" s="27"/>
      <c r="AC212" s="27"/>
      <c r="AD212" s="27"/>
      <c r="AF212" s="36">
        <v>0</v>
      </c>
      <c r="AG212" s="36">
        <v>0</v>
      </c>
      <c r="AH212" s="36">
        <v>0</v>
      </c>
      <c r="AI212" s="36">
        <v>0</v>
      </c>
      <c r="AJ212" s="37">
        <v>1</v>
      </c>
      <c r="AK212" s="67">
        <v>143.98133999999999</v>
      </c>
      <c r="AL212" s="39">
        <v>144</v>
      </c>
      <c r="AM212" s="32">
        <v>288</v>
      </c>
      <c r="AN212" s="39"/>
      <c r="AO212" s="39"/>
      <c r="AP212" s="39"/>
      <c r="AQ212" s="30"/>
      <c r="AR212" s="26"/>
      <c r="AS212" s="1"/>
    </row>
    <row r="213" spans="1:45" ht="15">
      <c r="A213" s="61">
        <v>37</v>
      </c>
      <c r="B213" s="61">
        <v>37</v>
      </c>
      <c r="C213" s="40">
        <f t="shared" si="34"/>
        <v>37</v>
      </c>
      <c r="D213" s="40">
        <f t="shared" si="34"/>
        <v>37</v>
      </c>
      <c r="E213" s="1" t="s">
        <v>849</v>
      </c>
      <c r="F213" s="29" t="s">
        <v>29</v>
      </c>
      <c r="G213" s="29"/>
      <c r="H213" s="27">
        <v>140</v>
      </c>
      <c r="I213" s="27"/>
      <c r="J213" s="27"/>
      <c r="K213" s="27"/>
      <c r="L213" s="27"/>
      <c r="M213" s="32">
        <f t="shared" si="35"/>
        <v>140</v>
      </c>
      <c r="N213" s="32" t="s">
        <v>1330</v>
      </c>
      <c r="O213" s="32"/>
      <c r="P213" s="42">
        <f t="shared" si="36"/>
        <v>139.97929999999999</v>
      </c>
      <c r="Q213" s="32">
        <f t="shared" si="37"/>
        <v>1</v>
      </c>
      <c r="R213" s="32">
        <f t="shared" ca="1" si="38"/>
        <v>0</v>
      </c>
      <c r="S213" s="33" t="s">
        <v>180</v>
      </c>
      <c r="T213" s="34">
        <f t="shared" si="39"/>
        <v>0</v>
      </c>
      <c r="U213" s="34">
        <f t="shared" ca="1" si="40"/>
        <v>0</v>
      </c>
      <c r="V213" s="34">
        <f>-SUMPRODUCT((S$6:S212=S213)*(X$6:X212=X213))</f>
        <v>0</v>
      </c>
      <c r="W213" s="34">
        <f>-SUMPRODUCT((S$6:S212=S213)*(X$6:X212=X213)*(B$6:B212&lt;&gt;"NS"))</f>
        <v>0</v>
      </c>
      <c r="X213" s="35">
        <f t="shared" si="41"/>
        <v>140.13999999999999</v>
      </c>
      <c r="Y213" s="27">
        <v>140</v>
      </c>
      <c r="Z213" s="29"/>
      <c r="AA213" s="27"/>
      <c r="AB213" s="27"/>
      <c r="AC213" s="27"/>
      <c r="AD213" s="27"/>
      <c r="AF213" s="36">
        <v>0</v>
      </c>
      <c r="AG213" s="36">
        <v>0</v>
      </c>
      <c r="AH213" s="36">
        <v>0</v>
      </c>
      <c r="AI213" s="36">
        <v>0</v>
      </c>
      <c r="AJ213" s="37">
        <v>1</v>
      </c>
      <c r="AK213" s="67">
        <v>139.99380000000002</v>
      </c>
      <c r="AL213" s="39">
        <v>140</v>
      </c>
      <c r="AM213" s="32">
        <v>280</v>
      </c>
      <c r="AN213" s="39"/>
      <c r="AO213" s="39"/>
      <c r="AP213" s="39"/>
      <c r="AQ213" s="30"/>
      <c r="AR213" s="26"/>
      <c r="AS213" s="1"/>
    </row>
    <row r="214" spans="1:45" ht="15">
      <c r="A214" s="61">
        <v>38</v>
      </c>
      <c r="B214" s="61">
        <v>38</v>
      </c>
      <c r="C214" s="40">
        <f t="shared" si="34"/>
        <v>38</v>
      </c>
      <c r="D214" s="40">
        <f t="shared" si="34"/>
        <v>38</v>
      </c>
      <c r="E214" s="1" t="s">
        <v>850</v>
      </c>
      <c r="F214" s="29" t="s">
        <v>69</v>
      </c>
      <c r="G214" s="29">
        <v>51</v>
      </c>
      <c r="H214" s="27">
        <v>71</v>
      </c>
      <c r="I214" s="27"/>
      <c r="J214" s="27"/>
      <c r="K214" s="27"/>
      <c r="L214" s="27"/>
      <c r="M214" s="32">
        <f t="shared" si="35"/>
        <v>122</v>
      </c>
      <c r="N214" s="32" t="s">
        <v>1330</v>
      </c>
      <c r="O214" s="32"/>
      <c r="P214" s="42">
        <f t="shared" si="36"/>
        <v>121.97920000000001</v>
      </c>
      <c r="Q214" s="32">
        <f t="shared" si="37"/>
        <v>2</v>
      </c>
      <c r="R214" s="32">
        <f t="shared" ca="1" si="38"/>
        <v>0</v>
      </c>
      <c r="S214" s="33" t="s">
        <v>180</v>
      </c>
      <c r="T214" s="34">
        <f t="shared" si="39"/>
        <v>0</v>
      </c>
      <c r="U214" s="34">
        <f t="shared" ca="1" si="40"/>
        <v>0</v>
      </c>
      <c r="V214" s="34">
        <f>-SUMPRODUCT((S$6:S213=S214)*(X$6:X213=X214))</f>
        <v>0</v>
      </c>
      <c r="W214" s="34">
        <f>-SUMPRODUCT((S$6:S213=S214)*(X$6:X213=X214)*(B$6:B213&lt;&gt;"NS"))</f>
        <v>0</v>
      </c>
      <c r="X214" s="35">
        <f t="shared" si="41"/>
        <v>122.0761</v>
      </c>
      <c r="Y214" s="27">
        <v>71</v>
      </c>
      <c r="Z214" s="29">
        <v>51</v>
      </c>
      <c r="AA214" s="27"/>
      <c r="AB214" s="27"/>
      <c r="AC214" s="27"/>
      <c r="AD214" s="27"/>
      <c r="AF214" s="36">
        <v>0</v>
      </c>
      <c r="AG214" s="36">
        <v>0</v>
      </c>
      <c r="AH214" s="36">
        <v>0</v>
      </c>
      <c r="AI214" s="36">
        <v>0</v>
      </c>
      <c r="AJ214" s="37">
        <v>2</v>
      </c>
      <c r="AK214" s="67">
        <v>122.03779999999999</v>
      </c>
      <c r="AL214" s="39">
        <v>71</v>
      </c>
      <c r="AM214" s="32">
        <v>193</v>
      </c>
      <c r="AN214" s="39"/>
      <c r="AO214" s="39"/>
      <c r="AP214" s="39"/>
      <c r="AQ214" s="30"/>
      <c r="AR214" s="26"/>
      <c r="AS214" s="1"/>
    </row>
    <row r="215" spans="1:45" ht="15">
      <c r="A215" s="61">
        <v>39</v>
      </c>
      <c r="B215" s="61" t="s">
        <v>111</v>
      </c>
      <c r="C215" s="40">
        <f t="shared" si="34"/>
        <v>39</v>
      </c>
      <c r="D215" s="40" t="str">
        <f t="shared" si="34"/>
        <v>NS</v>
      </c>
      <c r="E215" s="1" t="s">
        <v>851</v>
      </c>
      <c r="F215" s="29" t="s">
        <v>201</v>
      </c>
      <c r="G215" s="29">
        <v>39</v>
      </c>
      <c r="H215" s="27">
        <v>76</v>
      </c>
      <c r="I215" s="27"/>
      <c r="J215" s="27"/>
      <c r="K215" s="27"/>
      <c r="L215" s="27"/>
      <c r="M215" s="32">
        <f t="shared" si="35"/>
        <v>115</v>
      </c>
      <c r="N215" s="32" t="s">
        <v>1331</v>
      </c>
      <c r="O215" s="32"/>
      <c r="P215" s="42">
        <f t="shared" si="36"/>
        <v>114.9791</v>
      </c>
      <c r="Q215" s="32">
        <f t="shared" si="37"/>
        <v>2</v>
      </c>
      <c r="R215" s="32">
        <f t="shared" ca="1" si="38"/>
        <v>0</v>
      </c>
      <c r="S215" s="33" t="s">
        <v>180</v>
      </c>
      <c r="T215" s="34">
        <f t="shared" si="39"/>
        <v>0</v>
      </c>
      <c r="U215" s="34">
        <f t="shared" ca="1" si="40"/>
        <v>0</v>
      </c>
      <c r="V215" s="34">
        <f>-SUMPRODUCT((S$6:S214=S215)*(X$6:X214=X215))</f>
        <v>0</v>
      </c>
      <c r="W215" s="34">
        <f>-SUMPRODUCT((S$6:S214=S215)*(X$6:X214=X215)*(B$6:B214&lt;&gt;"NS"))</f>
        <v>0</v>
      </c>
      <c r="X215" s="35">
        <f t="shared" si="41"/>
        <v>115.07989999999999</v>
      </c>
      <c r="Y215" s="27">
        <v>76</v>
      </c>
      <c r="Z215" s="29">
        <v>39</v>
      </c>
      <c r="AA215" s="27"/>
      <c r="AB215" s="27"/>
      <c r="AC215" s="27"/>
      <c r="AD215" s="27"/>
      <c r="AF215" s="36">
        <v>0</v>
      </c>
      <c r="AG215" s="36">
        <v>0</v>
      </c>
      <c r="AH215" s="36">
        <v>0</v>
      </c>
      <c r="AI215" s="36">
        <v>0</v>
      </c>
      <c r="AJ215" s="37">
        <v>2</v>
      </c>
      <c r="AK215" s="67">
        <v>115.0261</v>
      </c>
      <c r="AL215" s="39">
        <v>76</v>
      </c>
      <c r="AM215" s="32">
        <v>0</v>
      </c>
      <c r="AN215" s="39"/>
      <c r="AO215" s="39"/>
      <c r="AP215" s="39"/>
      <c r="AQ215" s="30"/>
      <c r="AR215" s="26"/>
      <c r="AS215" s="1"/>
    </row>
    <row r="216" spans="1:45" ht="15">
      <c r="A216" s="61">
        <v>40</v>
      </c>
      <c r="B216" s="61">
        <v>39</v>
      </c>
      <c r="C216" s="40">
        <f t="shared" si="34"/>
        <v>40</v>
      </c>
      <c r="D216" s="40">
        <f t="shared" si="34"/>
        <v>39</v>
      </c>
      <c r="E216" s="1" t="s">
        <v>852</v>
      </c>
      <c r="F216" s="29" t="s">
        <v>47</v>
      </c>
      <c r="G216" s="29">
        <v>108</v>
      </c>
      <c r="H216" s="27"/>
      <c r="I216" s="27"/>
      <c r="J216" s="27"/>
      <c r="K216" s="27"/>
      <c r="L216" s="27"/>
      <c r="M216" s="32">
        <f t="shared" si="35"/>
        <v>108</v>
      </c>
      <c r="N216" s="32" t="s">
        <v>1330</v>
      </c>
      <c r="O216" s="32"/>
      <c r="P216" s="42">
        <f t="shared" si="36"/>
        <v>107.979</v>
      </c>
      <c r="Q216" s="32">
        <f t="shared" si="37"/>
        <v>1</v>
      </c>
      <c r="R216" s="32">
        <f t="shared" ca="1" si="38"/>
        <v>0</v>
      </c>
      <c r="S216" s="33" t="s">
        <v>180</v>
      </c>
      <c r="T216" s="34">
        <f t="shared" si="39"/>
        <v>0</v>
      </c>
      <c r="U216" s="34">
        <f t="shared" ca="1" si="40"/>
        <v>0</v>
      </c>
      <c r="V216" s="34">
        <f>-SUMPRODUCT((S$6:S215=S216)*(X$6:X215=X216))</f>
        <v>0</v>
      </c>
      <c r="W216" s="34">
        <f>-SUMPRODUCT((S$6:S215=S216)*(X$6:X215=X216)*(B$6:B215&lt;&gt;"NS"))</f>
        <v>0</v>
      </c>
      <c r="X216" s="35">
        <f t="shared" si="41"/>
        <v>108.108</v>
      </c>
      <c r="Y216" s="29">
        <v>108</v>
      </c>
      <c r="Z216" s="27"/>
      <c r="AA216" s="27"/>
      <c r="AB216" s="27"/>
      <c r="AC216" s="27"/>
      <c r="AD216" s="27"/>
      <c r="AF216" s="36">
        <v>0</v>
      </c>
      <c r="AG216" s="36">
        <v>0</v>
      </c>
      <c r="AH216" s="36">
        <v>0</v>
      </c>
      <c r="AI216" s="36">
        <v>0</v>
      </c>
      <c r="AJ216" s="37">
        <v>1</v>
      </c>
      <c r="AK216" s="67">
        <v>108.0874</v>
      </c>
      <c r="AL216" s="39">
        <v>108</v>
      </c>
      <c r="AM216" s="32">
        <v>216</v>
      </c>
      <c r="AN216" s="39"/>
      <c r="AO216" s="39"/>
      <c r="AP216" s="39"/>
      <c r="AQ216" s="30"/>
      <c r="AR216" s="26"/>
      <c r="AS216" s="1"/>
    </row>
    <row r="217" spans="1:45" ht="15">
      <c r="A217" s="61">
        <v>41</v>
      </c>
      <c r="B217" s="61">
        <v>40</v>
      </c>
      <c r="C217" s="40">
        <f t="shared" si="34"/>
        <v>41</v>
      </c>
      <c r="D217" s="40">
        <f t="shared" si="34"/>
        <v>40</v>
      </c>
      <c r="E217" s="1" t="s">
        <v>853</v>
      </c>
      <c r="F217" s="29" t="s">
        <v>57</v>
      </c>
      <c r="G217" s="29">
        <v>13</v>
      </c>
      <c r="H217" s="27"/>
      <c r="I217" s="27"/>
      <c r="J217" s="27">
        <v>85</v>
      </c>
      <c r="K217" s="27"/>
      <c r="L217" s="27"/>
      <c r="M217" s="32">
        <f t="shared" si="35"/>
        <v>98</v>
      </c>
      <c r="N217" s="32" t="s">
        <v>1330</v>
      </c>
      <c r="O217" s="32"/>
      <c r="P217" s="42">
        <f t="shared" si="36"/>
        <v>97.978899999999996</v>
      </c>
      <c r="Q217" s="32">
        <f t="shared" si="37"/>
        <v>2</v>
      </c>
      <c r="R217" s="32">
        <f t="shared" ca="1" si="38"/>
        <v>0</v>
      </c>
      <c r="S217" s="33" t="s">
        <v>180</v>
      </c>
      <c r="T217" s="34">
        <f t="shared" si="39"/>
        <v>0</v>
      </c>
      <c r="U217" s="34">
        <f t="shared" ca="1" si="40"/>
        <v>0</v>
      </c>
      <c r="V217" s="34">
        <f>-SUMPRODUCT((S$6:S216=S217)*(X$6:X216=X217))</f>
        <v>0</v>
      </c>
      <c r="W217" s="34">
        <f>-SUMPRODUCT((S$6:S216=S217)*(X$6:X216=X217)*(B$6:B216&lt;&gt;"NS"))</f>
        <v>0</v>
      </c>
      <c r="X217" s="35">
        <f t="shared" si="41"/>
        <v>98.086299999999994</v>
      </c>
      <c r="Y217" s="27">
        <v>85</v>
      </c>
      <c r="Z217" s="29">
        <v>13</v>
      </c>
      <c r="AA217" s="27"/>
      <c r="AB217" s="27"/>
      <c r="AC217" s="27"/>
      <c r="AD217" s="27"/>
      <c r="AF217" s="36">
        <v>0</v>
      </c>
      <c r="AG217" s="36">
        <v>0</v>
      </c>
      <c r="AH217" s="36">
        <v>0</v>
      </c>
      <c r="AI217" s="36">
        <v>0</v>
      </c>
      <c r="AJ217" s="37">
        <v>2</v>
      </c>
      <c r="AK217" s="67">
        <v>97.993050000000011</v>
      </c>
      <c r="AL217" s="39">
        <v>85</v>
      </c>
      <c r="AM217" s="32">
        <v>183</v>
      </c>
      <c r="AN217" s="39"/>
      <c r="AO217" s="39"/>
      <c r="AP217" s="39"/>
      <c r="AQ217" s="30"/>
      <c r="AR217" s="26"/>
      <c r="AS217" s="1"/>
    </row>
    <row r="218" spans="1:45" ht="15">
      <c r="A218" s="61">
        <v>42</v>
      </c>
      <c r="B218" s="61">
        <v>41</v>
      </c>
      <c r="C218" s="40">
        <f t="shared" si="34"/>
        <v>42</v>
      </c>
      <c r="D218" s="40">
        <f t="shared" si="34"/>
        <v>41</v>
      </c>
      <c r="E218" s="1" t="s">
        <v>854</v>
      </c>
      <c r="F218" s="29" t="s">
        <v>25</v>
      </c>
      <c r="G218" s="29"/>
      <c r="H218" s="27"/>
      <c r="I218" s="27">
        <v>96</v>
      </c>
      <c r="J218" s="27"/>
      <c r="K218" s="27"/>
      <c r="L218" s="27"/>
      <c r="M218" s="32">
        <f t="shared" si="35"/>
        <v>96</v>
      </c>
      <c r="N218" s="32" t="s">
        <v>1330</v>
      </c>
      <c r="O218" s="32"/>
      <c r="P218" s="42">
        <f t="shared" si="36"/>
        <v>95.978800000000007</v>
      </c>
      <c r="Q218" s="32">
        <f t="shared" si="37"/>
        <v>1</v>
      </c>
      <c r="R218" s="32">
        <f t="shared" ca="1" si="38"/>
        <v>0</v>
      </c>
      <c r="S218" s="33" t="s">
        <v>180</v>
      </c>
      <c r="T218" s="34">
        <f t="shared" si="39"/>
        <v>0</v>
      </c>
      <c r="U218" s="34">
        <f t="shared" ca="1" si="40"/>
        <v>0</v>
      </c>
      <c r="V218" s="34">
        <f>-SUMPRODUCT((S$6:S217=S218)*(X$6:X217=X218))</f>
        <v>0</v>
      </c>
      <c r="W218" s="34">
        <f>-SUMPRODUCT((S$6:S217=S218)*(X$6:X217=X218)*(B$6:B217&lt;&gt;"NS"))</f>
        <v>0</v>
      </c>
      <c r="X218" s="35">
        <f t="shared" si="41"/>
        <v>96.096000000000004</v>
      </c>
      <c r="Y218" s="27">
        <v>96</v>
      </c>
      <c r="Z218" s="29"/>
      <c r="AA218" s="27"/>
      <c r="AB218" s="27"/>
      <c r="AC218" s="27"/>
      <c r="AD218" s="27"/>
      <c r="AF218" s="36">
        <v>0</v>
      </c>
      <c r="AG218" s="36">
        <v>0</v>
      </c>
      <c r="AH218" s="36">
        <v>0</v>
      </c>
      <c r="AI218" s="36">
        <v>0</v>
      </c>
      <c r="AJ218" s="37">
        <v>1</v>
      </c>
      <c r="AK218" s="67">
        <v>95.980060000000009</v>
      </c>
      <c r="AL218" s="39">
        <v>96</v>
      </c>
      <c r="AM218" s="32">
        <v>192</v>
      </c>
      <c r="AN218" s="39"/>
      <c r="AO218" s="39"/>
      <c r="AP218" s="39"/>
      <c r="AQ218" s="30"/>
      <c r="AR218" s="26"/>
      <c r="AS218" s="1"/>
    </row>
    <row r="219" spans="1:45" ht="15">
      <c r="A219" s="61">
        <v>43</v>
      </c>
      <c r="B219" s="61">
        <v>42</v>
      </c>
      <c r="C219" s="40">
        <f t="shared" si="34"/>
        <v>43</v>
      </c>
      <c r="D219" s="40">
        <f t="shared" si="34"/>
        <v>42</v>
      </c>
      <c r="E219" s="1" t="s">
        <v>855</v>
      </c>
      <c r="F219" s="29" t="s">
        <v>84</v>
      </c>
      <c r="G219" s="29"/>
      <c r="H219" s="27"/>
      <c r="I219" s="27"/>
      <c r="J219" s="27">
        <v>93</v>
      </c>
      <c r="K219" s="27"/>
      <c r="L219" s="27"/>
      <c r="M219" s="32">
        <f t="shared" si="35"/>
        <v>93</v>
      </c>
      <c r="N219" s="32" t="s">
        <v>1330</v>
      </c>
      <c r="O219" s="32"/>
      <c r="P219" s="42">
        <f t="shared" si="36"/>
        <v>92.978700000000003</v>
      </c>
      <c r="Q219" s="32">
        <f t="shared" si="37"/>
        <v>1</v>
      </c>
      <c r="R219" s="32">
        <f t="shared" ca="1" si="38"/>
        <v>0</v>
      </c>
      <c r="S219" s="33" t="s">
        <v>180</v>
      </c>
      <c r="T219" s="34">
        <f t="shared" si="39"/>
        <v>0</v>
      </c>
      <c r="U219" s="34">
        <f t="shared" ca="1" si="40"/>
        <v>0</v>
      </c>
      <c r="V219" s="34">
        <f>-SUMPRODUCT((S$6:S218=S219)*(X$6:X218=X219))</f>
        <v>0</v>
      </c>
      <c r="W219" s="34">
        <f>-SUMPRODUCT((S$6:S218=S219)*(X$6:X218=X219)*(B$6:B218&lt;&gt;"NS"))</f>
        <v>0</v>
      </c>
      <c r="X219" s="35">
        <f t="shared" si="41"/>
        <v>93.093000000000004</v>
      </c>
      <c r="Y219" s="27">
        <v>93</v>
      </c>
      <c r="Z219" s="29"/>
      <c r="AA219" s="27"/>
      <c r="AB219" s="27"/>
      <c r="AC219" s="27"/>
      <c r="AD219" s="27"/>
      <c r="AF219" s="36">
        <v>0</v>
      </c>
      <c r="AG219" s="36">
        <v>0</v>
      </c>
      <c r="AH219" s="36">
        <v>0</v>
      </c>
      <c r="AI219" s="36">
        <v>0</v>
      </c>
      <c r="AJ219" s="37">
        <v>1</v>
      </c>
      <c r="AK219" s="67">
        <v>92.979929999999996</v>
      </c>
      <c r="AL219" s="39">
        <v>93</v>
      </c>
      <c r="AM219" s="32">
        <v>186</v>
      </c>
      <c r="AN219" s="39"/>
      <c r="AO219" s="39"/>
      <c r="AP219" s="39"/>
      <c r="AQ219" s="30"/>
      <c r="AR219" s="26"/>
      <c r="AS219" s="1"/>
    </row>
    <row r="220" spans="1:45" ht="15">
      <c r="A220" s="61">
        <v>44</v>
      </c>
      <c r="B220" s="61">
        <v>43</v>
      </c>
      <c r="C220" s="40">
        <f t="shared" si="34"/>
        <v>44</v>
      </c>
      <c r="D220" s="40">
        <f t="shared" si="34"/>
        <v>43</v>
      </c>
      <c r="E220" s="1" t="s">
        <v>856</v>
      </c>
      <c r="F220" s="29" t="s">
        <v>93</v>
      </c>
      <c r="G220" s="29"/>
      <c r="H220" s="27">
        <v>81</v>
      </c>
      <c r="I220" s="27"/>
      <c r="J220" s="27"/>
      <c r="K220" s="27"/>
      <c r="L220" s="27"/>
      <c r="M220" s="32">
        <f t="shared" si="35"/>
        <v>81</v>
      </c>
      <c r="N220" s="32" t="s">
        <v>1330</v>
      </c>
      <c r="O220" s="32"/>
      <c r="P220" s="42">
        <f t="shared" si="36"/>
        <v>80.9786</v>
      </c>
      <c r="Q220" s="32">
        <f t="shared" si="37"/>
        <v>1</v>
      </c>
      <c r="R220" s="32">
        <f t="shared" ca="1" si="38"/>
        <v>0</v>
      </c>
      <c r="S220" s="33" t="s">
        <v>180</v>
      </c>
      <c r="T220" s="34">
        <f t="shared" si="39"/>
        <v>0</v>
      </c>
      <c r="U220" s="34">
        <f t="shared" ca="1" si="40"/>
        <v>0</v>
      </c>
      <c r="V220" s="34">
        <f>-SUMPRODUCT((S$6:S219=S220)*(X$6:X219=X220))</f>
        <v>0</v>
      </c>
      <c r="W220" s="34">
        <f>-SUMPRODUCT((S$6:S219=S220)*(X$6:X219=X220)*(B$6:B219&lt;&gt;"NS"))</f>
        <v>0</v>
      </c>
      <c r="X220" s="35">
        <f t="shared" si="41"/>
        <v>81.081000000000003</v>
      </c>
      <c r="Y220" s="27">
        <v>81</v>
      </c>
      <c r="Z220" s="29"/>
      <c r="AA220" s="27"/>
      <c r="AB220" s="27"/>
      <c r="AC220" s="27"/>
      <c r="AD220" s="27"/>
      <c r="AF220" s="36">
        <v>0</v>
      </c>
      <c r="AG220" s="36">
        <v>0</v>
      </c>
      <c r="AH220" s="36">
        <v>0</v>
      </c>
      <c r="AI220" s="36">
        <v>0</v>
      </c>
      <c r="AJ220" s="37">
        <v>1</v>
      </c>
      <c r="AK220" s="67">
        <v>80.986999999999995</v>
      </c>
      <c r="AL220" s="39">
        <v>81</v>
      </c>
      <c r="AM220" s="32">
        <v>162</v>
      </c>
      <c r="AN220" s="39"/>
      <c r="AO220" s="39"/>
      <c r="AP220" s="39"/>
      <c r="AQ220" s="30"/>
      <c r="AR220" s="26"/>
      <c r="AS220" s="1"/>
    </row>
    <row r="221" spans="1:45" ht="15">
      <c r="A221" s="61">
        <v>45</v>
      </c>
      <c r="B221" s="61">
        <v>44</v>
      </c>
      <c r="C221" s="40">
        <f t="shared" si="34"/>
        <v>45</v>
      </c>
      <c r="D221" s="40">
        <f t="shared" si="34"/>
        <v>44</v>
      </c>
      <c r="E221" s="1" t="s">
        <v>857</v>
      </c>
      <c r="F221" s="29" t="s">
        <v>69</v>
      </c>
      <c r="G221" s="29"/>
      <c r="H221" s="27">
        <v>70</v>
      </c>
      <c r="I221" s="27"/>
      <c r="J221" s="27"/>
      <c r="K221" s="27"/>
      <c r="L221" s="27"/>
      <c r="M221" s="32">
        <f t="shared" si="35"/>
        <v>70</v>
      </c>
      <c r="N221" s="32" t="s">
        <v>1330</v>
      </c>
      <c r="O221" s="32"/>
      <c r="P221" s="42">
        <f t="shared" si="36"/>
        <v>69.978499999999997</v>
      </c>
      <c r="Q221" s="32">
        <f t="shared" si="37"/>
        <v>1</v>
      </c>
      <c r="R221" s="32">
        <f t="shared" ca="1" si="38"/>
        <v>0</v>
      </c>
      <c r="S221" s="33" t="s">
        <v>180</v>
      </c>
      <c r="T221" s="34">
        <f t="shared" si="39"/>
        <v>0</v>
      </c>
      <c r="U221" s="34">
        <f t="shared" ca="1" si="40"/>
        <v>0</v>
      </c>
      <c r="V221" s="34">
        <f>-SUMPRODUCT((S$6:S220=S221)*(X$6:X220=X221))</f>
        <v>0</v>
      </c>
      <c r="W221" s="34">
        <f>-SUMPRODUCT((S$6:S220=S221)*(X$6:X220=X221)*(B$6:B220&lt;&gt;"NS"))</f>
        <v>0</v>
      </c>
      <c r="X221" s="35">
        <f t="shared" si="41"/>
        <v>70.069999999999993</v>
      </c>
      <c r="Y221" s="27">
        <v>70</v>
      </c>
      <c r="Z221" s="29"/>
      <c r="AA221" s="27"/>
      <c r="AB221" s="27"/>
      <c r="AC221" s="27"/>
      <c r="AD221" s="27"/>
      <c r="AF221" s="36">
        <v>0</v>
      </c>
      <c r="AG221" s="36">
        <v>0</v>
      </c>
      <c r="AH221" s="36">
        <v>0</v>
      </c>
      <c r="AI221" s="36">
        <v>0</v>
      </c>
      <c r="AJ221" s="37">
        <v>1</v>
      </c>
      <c r="AK221" s="67">
        <v>69.985700000000008</v>
      </c>
      <c r="AL221" s="39">
        <v>70</v>
      </c>
      <c r="AM221" s="32">
        <v>140</v>
      </c>
      <c r="AN221" s="39"/>
      <c r="AO221" s="39"/>
      <c r="AP221" s="39"/>
      <c r="AQ221" s="30"/>
      <c r="AR221" s="26"/>
      <c r="AS221" s="1"/>
    </row>
    <row r="222" spans="1:45" ht="15">
      <c r="A222" s="61">
        <v>46</v>
      </c>
      <c r="B222" s="61">
        <v>45</v>
      </c>
      <c r="C222" s="40">
        <f t="shared" si="34"/>
        <v>46</v>
      </c>
      <c r="D222" s="40">
        <f t="shared" si="34"/>
        <v>45</v>
      </c>
      <c r="E222" s="1" t="s">
        <v>858</v>
      </c>
      <c r="F222" s="29" t="s">
        <v>88</v>
      </c>
      <c r="G222" s="29">
        <v>64</v>
      </c>
      <c r="H222" s="27"/>
      <c r="I222" s="27"/>
      <c r="J222" s="27"/>
      <c r="K222" s="27"/>
      <c r="L222" s="27"/>
      <c r="M222" s="32">
        <f t="shared" si="35"/>
        <v>64</v>
      </c>
      <c r="N222" s="32" t="s">
        <v>1330</v>
      </c>
      <c r="O222" s="32"/>
      <c r="P222" s="42">
        <f t="shared" si="36"/>
        <v>63.978400000000001</v>
      </c>
      <c r="Q222" s="32">
        <f t="shared" si="37"/>
        <v>1</v>
      </c>
      <c r="R222" s="32">
        <f t="shared" ca="1" si="38"/>
        <v>0</v>
      </c>
      <c r="S222" s="33" t="s">
        <v>180</v>
      </c>
      <c r="T222" s="34">
        <f t="shared" si="39"/>
        <v>0</v>
      </c>
      <c r="U222" s="34">
        <f t="shared" ca="1" si="40"/>
        <v>0</v>
      </c>
      <c r="V222" s="34">
        <f>-SUMPRODUCT((S$6:S221=S222)*(X$6:X221=X222))</f>
        <v>0</v>
      </c>
      <c r="W222" s="34">
        <f>-SUMPRODUCT((S$6:S221=S222)*(X$6:X221=X222)*(B$6:B221&lt;&gt;"NS"))</f>
        <v>0</v>
      </c>
      <c r="X222" s="35">
        <f t="shared" si="41"/>
        <v>64.063999999999993</v>
      </c>
      <c r="Y222" s="29">
        <v>64</v>
      </c>
      <c r="Z222" s="27"/>
      <c r="AA222" s="27"/>
      <c r="AB222" s="27"/>
      <c r="AC222" s="27"/>
      <c r="AD222" s="27"/>
      <c r="AF222" s="36">
        <v>0</v>
      </c>
      <c r="AG222" s="36">
        <v>0</v>
      </c>
      <c r="AH222" s="36">
        <v>0</v>
      </c>
      <c r="AI222" s="36">
        <v>0</v>
      </c>
      <c r="AJ222" s="37">
        <v>1</v>
      </c>
      <c r="AK222" s="67">
        <v>64.042599999999993</v>
      </c>
      <c r="AL222" s="39">
        <v>64</v>
      </c>
      <c r="AM222" s="32">
        <v>128</v>
      </c>
      <c r="AN222" s="39"/>
      <c r="AO222" s="39"/>
      <c r="AP222" s="39"/>
      <c r="AQ222" s="30"/>
      <c r="AR222" s="26"/>
      <c r="AS222" s="1"/>
    </row>
    <row r="223" spans="1:45" ht="15">
      <c r="A223" s="61">
        <v>47</v>
      </c>
      <c r="B223" s="61">
        <v>46</v>
      </c>
      <c r="C223" s="40">
        <f t="shared" si="34"/>
        <v>47</v>
      </c>
      <c r="D223" s="40">
        <f t="shared" si="34"/>
        <v>46</v>
      </c>
      <c r="E223" s="1" t="s">
        <v>859</v>
      </c>
      <c r="F223" s="29" t="s">
        <v>50</v>
      </c>
      <c r="G223" s="29">
        <v>54</v>
      </c>
      <c r="H223" s="27"/>
      <c r="I223" s="27"/>
      <c r="J223" s="27"/>
      <c r="K223" s="27"/>
      <c r="L223" s="27"/>
      <c r="M223" s="32">
        <f t="shared" si="35"/>
        <v>54</v>
      </c>
      <c r="N223" s="32" t="s">
        <v>1330</v>
      </c>
      <c r="O223" s="32"/>
      <c r="P223" s="42">
        <f t="shared" si="36"/>
        <v>53.978299999999997</v>
      </c>
      <c r="Q223" s="32">
        <f t="shared" si="37"/>
        <v>1</v>
      </c>
      <c r="R223" s="32">
        <f t="shared" ca="1" si="38"/>
        <v>0</v>
      </c>
      <c r="S223" s="33" t="s">
        <v>180</v>
      </c>
      <c r="T223" s="34">
        <f t="shared" si="39"/>
        <v>0</v>
      </c>
      <c r="U223" s="34">
        <f t="shared" ca="1" si="40"/>
        <v>0</v>
      </c>
      <c r="V223" s="34">
        <f>-SUMPRODUCT((S$6:S222=S223)*(X$6:X222=X223))</f>
        <v>0</v>
      </c>
      <c r="W223" s="34">
        <f>-SUMPRODUCT((S$6:S222=S223)*(X$6:X222=X223)*(B$6:B222&lt;&gt;"NS"))</f>
        <v>0</v>
      </c>
      <c r="X223" s="35">
        <f t="shared" si="41"/>
        <v>54.054000000000002</v>
      </c>
      <c r="Y223" s="29">
        <v>54</v>
      </c>
      <c r="Z223" s="27"/>
      <c r="AA223" s="27"/>
      <c r="AB223" s="27"/>
      <c r="AC223" s="27"/>
      <c r="AD223" s="27"/>
      <c r="AF223" s="36">
        <v>0</v>
      </c>
      <c r="AG223" s="36">
        <v>0</v>
      </c>
      <c r="AH223" s="36">
        <v>0</v>
      </c>
      <c r="AI223" s="36">
        <v>0</v>
      </c>
      <c r="AJ223" s="37">
        <v>1</v>
      </c>
      <c r="AK223" s="67">
        <v>54.032499999999999</v>
      </c>
      <c r="AL223" s="39">
        <v>54</v>
      </c>
      <c r="AM223" s="32">
        <v>108</v>
      </c>
      <c r="AN223" s="39"/>
      <c r="AO223" s="39"/>
      <c r="AP223" s="39"/>
      <c r="AQ223" s="30"/>
      <c r="AR223" s="26"/>
      <c r="AS223" s="1"/>
    </row>
    <row r="224" spans="1:45" ht="15">
      <c r="A224" s="61">
        <v>48</v>
      </c>
      <c r="B224" s="61" t="s">
        <v>111</v>
      </c>
      <c r="C224" s="40">
        <f t="shared" si="34"/>
        <v>48</v>
      </c>
      <c r="D224" s="40" t="str">
        <f t="shared" si="34"/>
        <v>NS</v>
      </c>
      <c r="E224" s="1" t="s">
        <v>860</v>
      </c>
      <c r="F224" s="29" t="s">
        <v>201</v>
      </c>
      <c r="G224" s="29">
        <v>38</v>
      </c>
      <c r="H224" s="27"/>
      <c r="I224" s="27"/>
      <c r="J224" s="27"/>
      <c r="K224" s="27"/>
      <c r="L224" s="27"/>
      <c r="M224" s="32">
        <f t="shared" si="35"/>
        <v>38</v>
      </c>
      <c r="N224" s="32" t="s">
        <v>1331</v>
      </c>
      <c r="O224" s="32"/>
      <c r="P224" s="42">
        <f t="shared" si="36"/>
        <v>37.978200000000001</v>
      </c>
      <c r="Q224" s="32">
        <f t="shared" si="37"/>
        <v>1</v>
      </c>
      <c r="R224" s="32">
        <f t="shared" ca="1" si="38"/>
        <v>0</v>
      </c>
      <c r="S224" s="33" t="s">
        <v>180</v>
      </c>
      <c r="T224" s="34">
        <f t="shared" si="39"/>
        <v>0</v>
      </c>
      <c r="U224" s="34">
        <f t="shared" ca="1" si="40"/>
        <v>0</v>
      </c>
      <c r="V224" s="34">
        <f>-SUMPRODUCT((S$6:S223=S224)*(X$6:X223=X224))</f>
        <v>0</v>
      </c>
      <c r="W224" s="34">
        <f>-SUMPRODUCT((S$6:S223=S224)*(X$6:X223=X224)*(B$6:B223&lt;&gt;"NS"))</f>
        <v>0</v>
      </c>
      <c r="X224" s="35">
        <f t="shared" si="41"/>
        <v>38.037999999999997</v>
      </c>
      <c r="Y224" s="29">
        <v>38</v>
      </c>
      <c r="Z224" s="27"/>
      <c r="AA224" s="27"/>
      <c r="AB224" s="27"/>
      <c r="AC224" s="27"/>
      <c r="AD224" s="27"/>
      <c r="AF224" s="36">
        <v>0</v>
      </c>
      <c r="AG224" s="36">
        <v>0</v>
      </c>
      <c r="AH224" s="36">
        <v>0</v>
      </c>
      <c r="AI224" s="36">
        <v>0</v>
      </c>
      <c r="AJ224" s="37">
        <v>1</v>
      </c>
      <c r="AK224" s="67">
        <v>38.016399999999997</v>
      </c>
      <c r="AL224" s="39">
        <v>38</v>
      </c>
      <c r="AM224" s="32">
        <v>0</v>
      </c>
      <c r="AN224" s="39"/>
      <c r="AO224" s="39"/>
      <c r="AP224" s="39"/>
      <c r="AQ224" s="30"/>
      <c r="AR224" s="26"/>
      <c r="AS224" s="1"/>
    </row>
    <row r="225" spans="1:45" ht="5.0999999999999996" customHeight="1">
      <c r="A225" s="27"/>
      <c r="B225" s="27"/>
      <c r="C225" s="27"/>
      <c r="D225" s="27"/>
      <c r="F225" s="52"/>
      <c r="G225" s="52"/>
      <c r="H225" s="52"/>
      <c r="I225" s="52"/>
      <c r="J225" s="52"/>
      <c r="K225" s="52"/>
      <c r="L225" s="52"/>
      <c r="M225" s="32"/>
      <c r="N225" s="27"/>
      <c r="O225" s="27"/>
      <c r="P225" s="42"/>
      <c r="Q225" s="27"/>
      <c r="R225" s="27"/>
      <c r="T225" s="59"/>
      <c r="U225" s="59"/>
      <c r="V225" s="59"/>
      <c r="W225" s="59"/>
      <c r="X225" s="34"/>
      <c r="Y225" s="52"/>
      <c r="Z225" s="52"/>
      <c r="AA225" s="52"/>
      <c r="AB225" s="52"/>
      <c r="AC225" s="52"/>
      <c r="AD225" s="52"/>
      <c r="AJ225" s="63"/>
      <c r="AK225" s="63"/>
      <c r="AM225" s="26"/>
      <c r="AN225" s="39"/>
      <c r="AO225" s="39"/>
      <c r="AP225" s="39"/>
      <c r="AQ225" s="30"/>
      <c r="AR225" s="26"/>
      <c r="AS225" s="1"/>
    </row>
    <row r="226" spans="1:45">
      <c r="F226" s="27"/>
      <c r="G226" s="27"/>
      <c r="H226" s="27"/>
      <c r="I226" s="27"/>
      <c r="J226" s="27"/>
      <c r="K226" s="27"/>
      <c r="L226" s="27"/>
      <c r="M226" s="32"/>
      <c r="N226" s="27"/>
      <c r="O226" s="27"/>
      <c r="P226" s="42"/>
      <c r="Q226" s="27"/>
      <c r="R226" s="27"/>
      <c r="T226" s="62"/>
      <c r="U226" s="62"/>
      <c r="V226" s="62"/>
      <c r="W226" s="62"/>
      <c r="X226" s="34"/>
      <c r="Y226" s="27"/>
      <c r="Z226" s="27"/>
      <c r="AA226" s="27"/>
      <c r="AB226" s="27"/>
      <c r="AC226" s="27"/>
      <c r="AD226" s="27"/>
      <c r="AJ226" s="63"/>
      <c r="AK226" s="63"/>
      <c r="AM226" s="26"/>
      <c r="AN226" s="39"/>
      <c r="AO226" s="39"/>
      <c r="AP226" s="39"/>
      <c r="AQ226" s="30"/>
      <c r="AR226" s="26"/>
      <c r="AS226" s="1"/>
    </row>
    <row r="227" spans="1:45" ht="15">
      <c r="A227" s="60"/>
      <c r="B227" s="60"/>
      <c r="C227" s="60"/>
      <c r="D227" s="60"/>
      <c r="E227" s="26" t="s">
        <v>129</v>
      </c>
      <c r="F227" s="27"/>
      <c r="G227" s="27"/>
      <c r="H227" s="27"/>
      <c r="I227" s="27"/>
      <c r="J227" s="27"/>
      <c r="K227" s="27"/>
      <c r="L227" s="27"/>
      <c r="M227" s="32"/>
      <c r="N227" s="27"/>
      <c r="O227" s="27"/>
      <c r="P227" s="42"/>
      <c r="Q227" s="27"/>
      <c r="R227" s="27"/>
      <c r="S227" s="52" t="str">
        <f>E227</f>
        <v>F55</v>
      </c>
      <c r="T227" s="59"/>
      <c r="U227" s="59"/>
      <c r="V227" s="59"/>
      <c r="W227" s="59"/>
      <c r="X227" s="34"/>
      <c r="Y227" s="27"/>
      <c r="Z227" s="52"/>
      <c r="AA227" s="52"/>
      <c r="AB227" s="52"/>
      <c r="AC227" s="52"/>
      <c r="AD227" s="52"/>
      <c r="AJ227" s="63"/>
      <c r="AK227" s="63"/>
      <c r="AM227" s="26"/>
      <c r="AN227" s="39">
        <v>589</v>
      </c>
      <c r="AO227" s="39">
        <v>559</v>
      </c>
      <c r="AP227" s="39">
        <v>490</v>
      </c>
      <c r="AQ227" s="30"/>
      <c r="AR227" s="26"/>
      <c r="AS227" s="1"/>
    </row>
    <row r="228" spans="1:45" ht="15">
      <c r="A228" s="61">
        <v>1</v>
      </c>
      <c r="B228" s="61">
        <v>1</v>
      </c>
      <c r="C228" s="40">
        <f t="shared" ref="C228:D258" si="42">IF(OR(V228&lt;0,V229&lt;0),"="&amp;A228+V228&amp;" ",A228)</f>
        <v>1</v>
      </c>
      <c r="D228" s="40">
        <f t="shared" si="42"/>
        <v>1</v>
      </c>
      <c r="E228" s="1" t="s">
        <v>128</v>
      </c>
      <c r="F228" s="29" t="s">
        <v>93</v>
      </c>
      <c r="G228" s="29"/>
      <c r="H228" s="27">
        <v>198</v>
      </c>
      <c r="I228" s="27">
        <v>197</v>
      </c>
      <c r="J228" s="27">
        <v>194</v>
      </c>
      <c r="K228" s="27">
        <v>196</v>
      </c>
      <c r="L228" s="27"/>
      <c r="M228" s="32">
        <f t="shared" ref="M228:M258" si="43">IFERROR(LARGE(G228:L228,1),0)+IF($F$5&gt;=2,IFERROR(LARGE(G228:L228,2),0),0)+IF($F$5&gt;=3,IFERROR(LARGE(G228:L228,3),0),0)+IF($F$5&gt;=4,IFERROR(LARGE(G228:L228,4),0),0)+IF($F$5&gt;=5,IFERROR(LARGE(G228:L228,5),0),0)+IF($F$5&gt;=6,IFERROR(LARGE(G228:L228,6),0),0)</f>
        <v>591</v>
      </c>
      <c r="N228" s="32" t="s">
        <v>1330</v>
      </c>
      <c r="O228" s="32" t="s">
        <v>861</v>
      </c>
      <c r="P228" s="42">
        <f t="shared" ref="P228:P258" si="44">M228-(ROW(M228)-ROW(M$6))/10000</f>
        <v>590.9778</v>
      </c>
      <c r="Q228" s="32">
        <f t="shared" ref="Q228:Q258" si="45">COUNT(G228:L228)</f>
        <v>4</v>
      </c>
      <c r="R228" s="32">
        <f t="shared" ref="R228:R258" ca="1" si="46">IF(AND(Q228=1,OFFSET(F228,0,R$3)&gt;0),"Y",0)</f>
        <v>0</v>
      </c>
      <c r="S228" s="33" t="s">
        <v>129</v>
      </c>
      <c r="T228" s="34">
        <f t="shared" ref="T228:T258" si="47">1-(S228=S227)</f>
        <v>0</v>
      </c>
      <c r="U228" s="34">
        <f t="shared" ref="U228:U258" ca="1" si="48">OFFSET(F228,0,$R$3)</f>
        <v>196</v>
      </c>
      <c r="V228" s="34">
        <f>-SUMPRODUCT((S$6:S227=S228)*(X$6:X227=X228))</f>
        <v>0</v>
      </c>
      <c r="W228" s="34">
        <f>-SUMPRODUCT((S$6:S227=S228)*(X$6:X227=X228)*(B$6:B227&lt;&gt;"NS"))</f>
        <v>0</v>
      </c>
      <c r="X228" s="35">
        <f t="shared" ref="X228:X258" si="49">M228+SUMPRODUCT(Y$4:AD$4,Y228:AD228)</f>
        <v>591.21965999999998</v>
      </c>
      <c r="Y228" s="27">
        <v>198</v>
      </c>
      <c r="Z228" s="27">
        <v>197</v>
      </c>
      <c r="AA228" s="27">
        <v>196</v>
      </c>
      <c r="AB228" s="27">
        <v>194</v>
      </c>
      <c r="AC228" s="29"/>
      <c r="AD228" s="27"/>
      <c r="AF228" s="36">
        <v>0</v>
      </c>
      <c r="AG228" s="36">
        <v>0</v>
      </c>
      <c r="AH228" s="36">
        <v>0</v>
      </c>
      <c r="AI228" s="36">
        <v>0</v>
      </c>
      <c r="AJ228" s="37">
        <v>3</v>
      </c>
      <c r="AK228" s="67">
        <v>588.99996399999998</v>
      </c>
      <c r="AL228" s="39">
        <v>198</v>
      </c>
      <c r="AM228" s="32">
        <v>593</v>
      </c>
      <c r="AN228" s="39" t="s">
        <v>861</v>
      </c>
      <c r="AO228" s="39"/>
      <c r="AP228" s="39"/>
      <c r="AQ228" s="30"/>
      <c r="AR228" s="26"/>
      <c r="AS228" s="1"/>
    </row>
    <row r="229" spans="1:45" ht="15">
      <c r="A229" s="61">
        <v>2</v>
      </c>
      <c r="B229" s="61">
        <v>2</v>
      </c>
      <c r="C229" s="40">
        <f t="shared" si="42"/>
        <v>2</v>
      </c>
      <c r="D229" s="40">
        <f t="shared" si="42"/>
        <v>2</v>
      </c>
      <c r="E229" s="1" t="s">
        <v>862</v>
      </c>
      <c r="F229" s="29" t="s">
        <v>50</v>
      </c>
      <c r="G229" s="29">
        <v>187</v>
      </c>
      <c r="H229" s="27">
        <v>185</v>
      </c>
      <c r="I229" s="27">
        <v>187</v>
      </c>
      <c r="J229" s="27"/>
      <c r="K229" s="27"/>
      <c r="L229" s="27"/>
      <c r="M229" s="32">
        <f t="shared" si="43"/>
        <v>559</v>
      </c>
      <c r="N229" s="32" t="s">
        <v>1330</v>
      </c>
      <c r="O229" s="32" t="s">
        <v>863</v>
      </c>
      <c r="P229" s="42">
        <f t="shared" si="44"/>
        <v>558.97770000000003</v>
      </c>
      <c r="Q229" s="32">
        <f t="shared" si="45"/>
        <v>3</v>
      </c>
      <c r="R229" s="32">
        <f t="shared" ca="1" si="46"/>
        <v>0</v>
      </c>
      <c r="S229" s="33" t="s">
        <v>129</v>
      </c>
      <c r="T229" s="34">
        <f t="shared" si="47"/>
        <v>0</v>
      </c>
      <c r="U229" s="34">
        <f t="shared" ca="1" si="48"/>
        <v>0</v>
      </c>
      <c r="V229" s="34">
        <f>-SUMPRODUCT((S$6:S228=S229)*(X$6:X228=X229))</f>
        <v>0</v>
      </c>
      <c r="W229" s="34">
        <f>-SUMPRODUCT((S$6:S228=S229)*(X$6:X228=X229)*(B$6:B228&lt;&gt;"NS"))</f>
        <v>0</v>
      </c>
      <c r="X229" s="35">
        <f t="shared" si="49"/>
        <v>559.20754999999997</v>
      </c>
      <c r="Y229" s="29">
        <v>187</v>
      </c>
      <c r="Z229" s="27">
        <v>187</v>
      </c>
      <c r="AA229" s="27">
        <v>185</v>
      </c>
      <c r="AB229" s="27"/>
      <c r="AC229" s="27"/>
      <c r="AD229" s="27"/>
      <c r="AF229" s="36">
        <v>0</v>
      </c>
      <c r="AG229" s="36">
        <v>0</v>
      </c>
      <c r="AH229" s="36">
        <v>0</v>
      </c>
      <c r="AI229" s="36">
        <v>0</v>
      </c>
      <c r="AJ229" s="37">
        <v>3</v>
      </c>
      <c r="AK229" s="67">
        <v>559.18527000000006</v>
      </c>
      <c r="AL229" s="39">
        <v>187</v>
      </c>
      <c r="AM229" s="32">
        <v>561</v>
      </c>
      <c r="AN229" s="39"/>
      <c r="AO229" s="39" t="s">
        <v>863</v>
      </c>
      <c r="AP229" s="39"/>
      <c r="AQ229" s="30"/>
      <c r="AR229" s="26"/>
      <c r="AS229" s="1"/>
    </row>
    <row r="230" spans="1:45" ht="15">
      <c r="A230" s="61">
        <v>3</v>
      </c>
      <c r="B230" s="61">
        <v>3</v>
      </c>
      <c r="C230" s="40">
        <f t="shared" si="42"/>
        <v>3</v>
      </c>
      <c r="D230" s="40">
        <f t="shared" si="42"/>
        <v>3</v>
      </c>
      <c r="E230" s="1" t="s">
        <v>208</v>
      </c>
      <c r="F230" s="29" t="s">
        <v>19</v>
      </c>
      <c r="G230" s="29">
        <v>147</v>
      </c>
      <c r="H230" s="27">
        <v>162</v>
      </c>
      <c r="I230" s="27"/>
      <c r="J230" s="27"/>
      <c r="K230" s="27">
        <v>182</v>
      </c>
      <c r="L230" s="27"/>
      <c r="M230" s="32">
        <f t="shared" si="43"/>
        <v>491</v>
      </c>
      <c r="N230" s="32" t="s">
        <v>1330</v>
      </c>
      <c r="O230" s="32" t="s">
        <v>864</v>
      </c>
      <c r="P230" s="42">
        <f t="shared" si="44"/>
        <v>490.9776</v>
      </c>
      <c r="Q230" s="32">
        <f t="shared" si="45"/>
        <v>3</v>
      </c>
      <c r="R230" s="32">
        <f t="shared" ca="1" si="46"/>
        <v>0</v>
      </c>
      <c r="S230" s="33" t="s">
        <v>129</v>
      </c>
      <c r="T230" s="34">
        <f t="shared" si="47"/>
        <v>0</v>
      </c>
      <c r="U230" s="34">
        <f t="shared" ca="1" si="48"/>
        <v>182</v>
      </c>
      <c r="V230" s="34">
        <f>-SUMPRODUCT((S$6:S229=S230)*(X$6:X229=X230))</f>
        <v>0</v>
      </c>
      <c r="W230" s="34">
        <f>-SUMPRODUCT((S$6:S229=S230)*(X$6:X229=X230)*(B$6:B229&lt;&gt;"NS"))</f>
        <v>0</v>
      </c>
      <c r="X230" s="35">
        <f t="shared" si="49"/>
        <v>491.19967000000003</v>
      </c>
      <c r="Y230" s="27">
        <v>182</v>
      </c>
      <c r="Z230" s="27">
        <v>162</v>
      </c>
      <c r="AA230" s="29">
        <v>147</v>
      </c>
      <c r="AB230" s="27"/>
      <c r="AC230" s="27"/>
      <c r="AD230" s="27"/>
      <c r="AF230" s="36">
        <v>0</v>
      </c>
      <c r="AG230" s="36">
        <v>0</v>
      </c>
      <c r="AH230" s="36">
        <v>0</v>
      </c>
      <c r="AI230" s="36">
        <v>0</v>
      </c>
      <c r="AJ230" s="37">
        <v>2</v>
      </c>
      <c r="AK230" s="67">
        <v>309.14030000000002</v>
      </c>
      <c r="AL230" s="39">
        <v>162</v>
      </c>
      <c r="AM230" s="32">
        <v>471</v>
      </c>
      <c r="AN230" s="39"/>
      <c r="AO230" s="39"/>
      <c r="AP230" s="39"/>
      <c r="AQ230" s="30"/>
      <c r="AR230" s="26"/>
      <c r="AS230" s="1"/>
    </row>
    <row r="231" spans="1:45" ht="15">
      <c r="A231" s="61">
        <v>4</v>
      </c>
      <c r="B231" s="61">
        <v>4</v>
      </c>
      <c r="C231" s="40">
        <f t="shared" si="42"/>
        <v>4</v>
      </c>
      <c r="D231" s="40">
        <f t="shared" si="42"/>
        <v>4</v>
      </c>
      <c r="E231" s="1" t="s">
        <v>865</v>
      </c>
      <c r="F231" s="29" t="s">
        <v>50</v>
      </c>
      <c r="G231" s="29">
        <v>156</v>
      </c>
      <c r="H231" s="27">
        <v>163</v>
      </c>
      <c r="I231" s="27">
        <v>163</v>
      </c>
      <c r="J231" s="27">
        <v>164</v>
      </c>
      <c r="K231" s="27"/>
      <c r="L231" s="27"/>
      <c r="M231" s="32">
        <f t="shared" si="43"/>
        <v>490</v>
      </c>
      <c r="N231" s="32" t="s">
        <v>1330</v>
      </c>
      <c r="O231" s="32"/>
      <c r="P231" s="42">
        <f t="shared" si="44"/>
        <v>489.97750000000002</v>
      </c>
      <c r="Q231" s="32">
        <f t="shared" si="45"/>
        <v>4</v>
      </c>
      <c r="R231" s="32">
        <f t="shared" ca="1" si="46"/>
        <v>0</v>
      </c>
      <c r="S231" s="33" t="s">
        <v>129</v>
      </c>
      <c r="T231" s="34">
        <f t="shared" si="47"/>
        <v>0</v>
      </c>
      <c r="U231" s="34">
        <f t="shared" ca="1" si="48"/>
        <v>0</v>
      </c>
      <c r="V231" s="34">
        <f>-SUMPRODUCT((S$6:S230=S231)*(X$6:X230=X231))</f>
        <v>0</v>
      </c>
      <c r="W231" s="34">
        <f>-SUMPRODUCT((S$6:S230=S231)*(X$6:X230=X231)*(B$6:B230&lt;&gt;"NS"))</f>
        <v>0</v>
      </c>
      <c r="X231" s="35">
        <f t="shared" si="49"/>
        <v>490.18193000000002</v>
      </c>
      <c r="Y231" s="27">
        <v>164</v>
      </c>
      <c r="Z231" s="27">
        <v>163</v>
      </c>
      <c r="AA231" s="27">
        <v>163</v>
      </c>
      <c r="AB231" s="29">
        <v>156</v>
      </c>
      <c r="AC231" s="27"/>
      <c r="AD231" s="27"/>
      <c r="AF231" s="36">
        <v>0</v>
      </c>
      <c r="AG231" s="36">
        <v>0</v>
      </c>
      <c r="AH231" s="36">
        <v>0</v>
      </c>
      <c r="AI231" s="36">
        <v>0</v>
      </c>
      <c r="AJ231" s="37">
        <v>4</v>
      </c>
      <c r="AK231" s="67">
        <v>490.151903</v>
      </c>
      <c r="AL231" s="39">
        <v>164</v>
      </c>
      <c r="AM231" s="32">
        <v>491</v>
      </c>
      <c r="AN231" s="39"/>
      <c r="AO231" s="39"/>
      <c r="AP231" s="39" t="s">
        <v>864</v>
      </c>
      <c r="AQ231" s="30"/>
      <c r="AR231" s="26"/>
      <c r="AS231" s="1"/>
    </row>
    <row r="232" spans="1:45" ht="15">
      <c r="A232" s="61">
        <v>5</v>
      </c>
      <c r="B232" s="61">
        <v>5</v>
      </c>
      <c r="C232" s="40">
        <f t="shared" si="42"/>
        <v>5</v>
      </c>
      <c r="D232" s="40">
        <f t="shared" si="42"/>
        <v>5</v>
      </c>
      <c r="E232" s="1" t="s">
        <v>866</v>
      </c>
      <c r="F232" s="29" t="s">
        <v>29</v>
      </c>
      <c r="G232" s="29">
        <v>137</v>
      </c>
      <c r="H232" s="27">
        <v>159</v>
      </c>
      <c r="I232" s="27">
        <v>168</v>
      </c>
      <c r="J232" s="27"/>
      <c r="K232" s="27"/>
      <c r="L232" s="27"/>
      <c r="M232" s="32">
        <f t="shared" si="43"/>
        <v>464</v>
      </c>
      <c r="N232" s="32" t="s">
        <v>1330</v>
      </c>
      <c r="O232" s="32"/>
      <c r="P232" s="42">
        <f t="shared" si="44"/>
        <v>463.97739999999999</v>
      </c>
      <c r="Q232" s="32">
        <f t="shared" si="45"/>
        <v>3</v>
      </c>
      <c r="R232" s="32">
        <f t="shared" ca="1" si="46"/>
        <v>0</v>
      </c>
      <c r="S232" s="33" t="s">
        <v>129</v>
      </c>
      <c r="T232" s="34">
        <f t="shared" si="47"/>
        <v>0</v>
      </c>
      <c r="U232" s="34">
        <f t="shared" ca="1" si="48"/>
        <v>0</v>
      </c>
      <c r="V232" s="34">
        <f>-SUMPRODUCT((S$6:S231=S232)*(X$6:X231=X232))</f>
        <v>0</v>
      </c>
      <c r="W232" s="34">
        <f>-SUMPRODUCT((S$6:S231=S232)*(X$6:X231=X232)*(B$6:B231&lt;&gt;"NS"))</f>
        <v>0</v>
      </c>
      <c r="X232" s="35">
        <f t="shared" si="49"/>
        <v>464.18527</v>
      </c>
      <c r="Y232" s="27">
        <v>168</v>
      </c>
      <c r="Z232" s="27">
        <v>159</v>
      </c>
      <c r="AA232" s="29">
        <v>137</v>
      </c>
      <c r="AB232" s="27"/>
      <c r="AC232" s="27"/>
      <c r="AD232" s="27"/>
      <c r="AF232" s="36">
        <v>0</v>
      </c>
      <c r="AG232" s="36">
        <v>0</v>
      </c>
      <c r="AH232" s="36">
        <v>0</v>
      </c>
      <c r="AI232" s="36">
        <v>0</v>
      </c>
      <c r="AJ232" s="37">
        <v>3</v>
      </c>
      <c r="AK232" s="67">
        <v>464.13228000000004</v>
      </c>
      <c r="AL232" s="39">
        <v>168</v>
      </c>
      <c r="AM232" s="32">
        <v>495</v>
      </c>
      <c r="AN232" s="39"/>
      <c r="AO232" s="39"/>
      <c r="AP232" s="39" t="s">
        <v>864</v>
      </c>
      <c r="AQ232" s="30"/>
      <c r="AR232" s="26"/>
      <c r="AS232" s="1"/>
    </row>
    <row r="233" spans="1:45" ht="15">
      <c r="A233" s="61">
        <v>6</v>
      </c>
      <c r="B233" s="61">
        <v>6</v>
      </c>
      <c r="C233" s="40">
        <f t="shared" si="42"/>
        <v>6</v>
      </c>
      <c r="D233" s="40">
        <f t="shared" si="42"/>
        <v>6</v>
      </c>
      <c r="E233" s="1" t="s">
        <v>246</v>
      </c>
      <c r="F233" s="29" t="s">
        <v>47</v>
      </c>
      <c r="G233" s="29"/>
      <c r="H233" s="27">
        <v>138</v>
      </c>
      <c r="I233" s="27">
        <v>145</v>
      </c>
      <c r="J233" s="27">
        <v>138</v>
      </c>
      <c r="K233" s="27">
        <v>167</v>
      </c>
      <c r="L233" s="27"/>
      <c r="M233" s="32">
        <f t="shared" si="43"/>
        <v>450</v>
      </c>
      <c r="N233" s="32" t="s">
        <v>1330</v>
      </c>
      <c r="O233" s="32"/>
      <c r="P233" s="42">
        <f t="shared" si="44"/>
        <v>449.97730000000001</v>
      </c>
      <c r="Q233" s="32">
        <f t="shared" si="45"/>
        <v>4</v>
      </c>
      <c r="R233" s="32">
        <f t="shared" ca="1" si="46"/>
        <v>0</v>
      </c>
      <c r="S233" s="33" t="s">
        <v>129</v>
      </c>
      <c r="T233" s="34">
        <f t="shared" si="47"/>
        <v>0</v>
      </c>
      <c r="U233" s="34">
        <f t="shared" ca="1" si="48"/>
        <v>167</v>
      </c>
      <c r="V233" s="34">
        <f>-SUMPRODUCT((S$6:S232=S233)*(X$6:X232=X233))</f>
        <v>0</v>
      </c>
      <c r="W233" s="34">
        <f>-SUMPRODUCT((S$6:S232=S233)*(X$6:X232=X233)*(B$6:B232&lt;&gt;"NS"))</f>
        <v>0</v>
      </c>
      <c r="X233" s="35">
        <f t="shared" si="49"/>
        <v>450.18288000000001</v>
      </c>
      <c r="Y233" s="27">
        <v>167</v>
      </c>
      <c r="Z233" s="27">
        <v>145</v>
      </c>
      <c r="AA233" s="27">
        <v>138</v>
      </c>
      <c r="AB233" s="27">
        <v>138</v>
      </c>
      <c r="AC233" s="29"/>
      <c r="AD233" s="27"/>
      <c r="AF233" s="36">
        <v>0</v>
      </c>
      <c r="AG233" s="36">
        <v>0</v>
      </c>
      <c r="AH233" s="36">
        <v>0</v>
      </c>
      <c r="AI233" s="36">
        <v>0</v>
      </c>
      <c r="AJ233" s="37">
        <v>3</v>
      </c>
      <c r="AK233" s="67">
        <v>420.99298799999997</v>
      </c>
      <c r="AL233" s="39">
        <v>145</v>
      </c>
      <c r="AM233" s="32">
        <v>428</v>
      </c>
      <c r="AN233" s="39"/>
      <c r="AO233" s="39"/>
      <c r="AP233" s="39"/>
      <c r="AQ233" s="30"/>
      <c r="AR233" s="26"/>
      <c r="AS233" s="1"/>
    </row>
    <row r="234" spans="1:45" ht="15">
      <c r="A234" s="61">
        <v>7</v>
      </c>
      <c r="B234" s="61">
        <v>7</v>
      </c>
      <c r="C234" s="40">
        <f t="shared" si="42"/>
        <v>7</v>
      </c>
      <c r="D234" s="40">
        <f t="shared" si="42"/>
        <v>7</v>
      </c>
      <c r="E234" s="1" t="s">
        <v>287</v>
      </c>
      <c r="F234" s="29" t="s">
        <v>88</v>
      </c>
      <c r="G234" s="29"/>
      <c r="H234" s="27">
        <v>125</v>
      </c>
      <c r="I234" s="27">
        <v>128</v>
      </c>
      <c r="J234" s="27">
        <v>140</v>
      </c>
      <c r="K234" s="27">
        <v>153</v>
      </c>
      <c r="L234" s="27"/>
      <c r="M234" s="32">
        <f t="shared" si="43"/>
        <v>421</v>
      </c>
      <c r="N234" s="32" t="s">
        <v>1330</v>
      </c>
      <c r="O234" s="32"/>
      <c r="P234" s="42">
        <f t="shared" si="44"/>
        <v>420.97719999999998</v>
      </c>
      <c r="Q234" s="32">
        <f t="shared" si="45"/>
        <v>4</v>
      </c>
      <c r="R234" s="32">
        <f t="shared" ca="1" si="46"/>
        <v>0</v>
      </c>
      <c r="S234" s="33" t="s">
        <v>129</v>
      </c>
      <c r="T234" s="34">
        <f t="shared" si="47"/>
        <v>0</v>
      </c>
      <c r="U234" s="34">
        <f t="shared" ca="1" si="48"/>
        <v>153</v>
      </c>
      <c r="V234" s="34">
        <f>-SUMPRODUCT((S$6:S233=S234)*(X$6:X233=X234))</f>
        <v>0</v>
      </c>
      <c r="W234" s="34">
        <f>-SUMPRODUCT((S$6:S233=S234)*(X$6:X233=X234)*(B$6:B233&lt;&gt;"NS"))</f>
        <v>0</v>
      </c>
      <c r="X234" s="35">
        <f t="shared" si="49"/>
        <v>421.16827999999998</v>
      </c>
      <c r="Y234" s="27">
        <v>153</v>
      </c>
      <c r="Z234" s="27">
        <v>140</v>
      </c>
      <c r="AA234" s="27">
        <v>128</v>
      </c>
      <c r="AB234" s="27">
        <v>125</v>
      </c>
      <c r="AC234" s="29"/>
      <c r="AD234" s="27"/>
      <c r="AF234" s="36">
        <v>0</v>
      </c>
      <c r="AG234" s="36">
        <v>0</v>
      </c>
      <c r="AH234" s="36">
        <v>0</v>
      </c>
      <c r="AI234" s="36">
        <v>0</v>
      </c>
      <c r="AJ234" s="37">
        <v>3</v>
      </c>
      <c r="AK234" s="67">
        <v>392.99152800000002</v>
      </c>
      <c r="AL234" s="39">
        <v>140</v>
      </c>
      <c r="AM234" s="32">
        <v>408</v>
      </c>
      <c r="AN234" s="39"/>
      <c r="AO234" s="39"/>
      <c r="AP234" s="39"/>
      <c r="AQ234" s="30"/>
      <c r="AR234" s="26"/>
      <c r="AS234" s="1"/>
    </row>
    <row r="235" spans="1:45" ht="15">
      <c r="A235" s="61">
        <v>8</v>
      </c>
      <c r="B235" s="61">
        <v>8</v>
      </c>
      <c r="C235" s="40">
        <f t="shared" si="42"/>
        <v>8</v>
      </c>
      <c r="D235" s="40">
        <f t="shared" si="42"/>
        <v>8</v>
      </c>
      <c r="E235" s="1" t="s">
        <v>319</v>
      </c>
      <c r="F235" s="29" t="s">
        <v>134</v>
      </c>
      <c r="G235" s="29">
        <v>69</v>
      </c>
      <c r="H235" s="27">
        <v>97</v>
      </c>
      <c r="I235" s="27">
        <v>102</v>
      </c>
      <c r="J235" s="27">
        <v>111</v>
      </c>
      <c r="K235" s="27">
        <v>138</v>
      </c>
      <c r="L235" s="27"/>
      <c r="M235" s="32">
        <f t="shared" si="43"/>
        <v>351</v>
      </c>
      <c r="N235" s="32" t="s">
        <v>1330</v>
      </c>
      <c r="O235" s="32"/>
      <c r="P235" s="42">
        <f t="shared" si="44"/>
        <v>350.97710000000001</v>
      </c>
      <c r="Q235" s="32">
        <f t="shared" si="45"/>
        <v>5</v>
      </c>
      <c r="R235" s="32">
        <f t="shared" ca="1" si="46"/>
        <v>0</v>
      </c>
      <c r="S235" s="33" t="s">
        <v>129</v>
      </c>
      <c r="T235" s="34">
        <f t="shared" si="47"/>
        <v>0</v>
      </c>
      <c r="U235" s="34">
        <f t="shared" ca="1" si="48"/>
        <v>138</v>
      </c>
      <c r="V235" s="34">
        <f>-SUMPRODUCT((S$6:S234=S235)*(X$6:X234=X235))</f>
        <v>0</v>
      </c>
      <c r="W235" s="34">
        <f>-SUMPRODUCT((S$6:S234=S235)*(X$6:X234=X235)*(B$6:B234&lt;&gt;"NS"))</f>
        <v>0</v>
      </c>
      <c r="X235" s="35">
        <f t="shared" si="49"/>
        <v>351.15012000000002</v>
      </c>
      <c r="Y235" s="27">
        <v>138</v>
      </c>
      <c r="Z235" s="27">
        <v>111</v>
      </c>
      <c r="AA235" s="27">
        <v>102</v>
      </c>
      <c r="AB235" s="27">
        <v>97</v>
      </c>
      <c r="AC235" s="29">
        <v>69</v>
      </c>
      <c r="AD235" s="27"/>
      <c r="AF235" s="36">
        <v>0</v>
      </c>
      <c r="AG235" s="36">
        <v>0</v>
      </c>
      <c r="AH235" s="36">
        <v>0</v>
      </c>
      <c r="AI235" s="36">
        <v>0</v>
      </c>
      <c r="AJ235" s="37">
        <v>4</v>
      </c>
      <c r="AK235" s="67">
        <v>310.05711200000002</v>
      </c>
      <c r="AL235" s="39">
        <v>111</v>
      </c>
      <c r="AM235" s="32">
        <v>324</v>
      </c>
      <c r="AN235" s="39"/>
      <c r="AO235" s="39"/>
      <c r="AP235" s="39"/>
      <c r="AQ235" s="30"/>
      <c r="AR235" s="26"/>
      <c r="AS235" s="1"/>
    </row>
    <row r="236" spans="1:45" ht="15">
      <c r="A236" s="61">
        <v>9</v>
      </c>
      <c r="B236" s="61">
        <v>9</v>
      </c>
      <c r="C236" s="40">
        <f t="shared" si="42"/>
        <v>9</v>
      </c>
      <c r="D236" s="40">
        <f t="shared" si="42"/>
        <v>9</v>
      </c>
      <c r="E236" s="1" t="s">
        <v>867</v>
      </c>
      <c r="F236" s="29" t="s">
        <v>19</v>
      </c>
      <c r="G236" s="29"/>
      <c r="H236" s="27">
        <v>172</v>
      </c>
      <c r="I236" s="27">
        <v>173</v>
      </c>
      <c r="J236" s="27"/>
      <c r="K236" s="27"/>
      <c r="L236" s="27"/>
      <c r="M236" s="32">
        <f t="shared" si="43"/>
        <v>345</v>
      </c>
      <c r="N236" s="32" t="s">
        <v>1330</v>
      </c>
      <c r="O236" s="32"/>
      <c r="P236" s="42">
        <f t="shared" si="44"/>
        <v>344.97699999999998</v>
      </c>
      <c r="Q236" s="32">
        <f t="shared" si="45"/>
        <v>2</v>
      </c>
      <c r="R236" s="32">
        <f t="shared" ca="1" si="46"/>
        <v>0</v>
      </c>
      <c r="S236" s="33" t="s">
        <v>129</v>
      </c>
      <c r="T236" s="34">
        <f t="shared" si="47"/>
        <v>0</v>
      </c>
      <c r="U236" s="34">
        <f t="shared" ca="1" si="48"/>
        <v>0</v>
      </c>
      <c r="V236" s="34">
        <f>-SUMPRODUCT((S$6:S235=S236)*(X$6:X235=X236))</f>
        <v>0</v>
      </c>
      <c r="W236" s="34">
        <f>-SUMPRODUCT((S$6:S235=S236)*(X$6:X235=X236)*(B$6:B235&lt;&gt;"NS"))</f>
        <v>0</v>
      </c>
      <c r="X236" s="35">
        <f t="shared" si="49"/>
        <v>345.1902</v>
      </c>
      <c r="Y236" s="27">
        <v>173</v>
      </c>
      <c r="Z236" s="27">
        <v>172</v>
      </c>
      <c r="AA236" s="29"/>
      <c r="AB236" s="27"/>
      <c r="AC236" s="27"/>
      <c r="AD236" s="27"/>
      <c r="AF236" s="36">
        <v>0</v>
      </c>
      <c r="AG236" s="36">
        <v>0</v>
      </c>
      <c r="AH236" s="36">
        <v>0</v>
      </c>
      <c r="AI236" s="36">
        <v>0</v>
      </c>
      <c r="AJ236" s="37">
        <v>2</v>
      </c>
      <c r="AK236" s="67">
        <v>344.99633</v>
      </c>
      <c r="AL236" s="39">
        <v>173</v>
      </c>
      <c r="AM236" s="32">
        <v>518</v>
      </c>
      <c r="AN236" s="39"/>
      <c r="AO236" s="39"/>
      <c r="AP236" s="39" t="s">
        <v>864</v>
      </c>
      <c r="AQ236" s="30"/>
      <c r="AR236" s="26"/>
      <c r="AS236" s="1"/>
    </row>
    <row r="237" spans="1:45" ht="15">
      <c r="A237" s="61">
        <v>10</v>
      </c>
      <c r="B237" s="61">
        <v>10</v>
      </c>
      <c r="C237" s="40">
        <f t="shared" si="42"/>
        <v>10</v>
      </c>
      <c r="D237" s="40">
        <f t="shared" si="42"/>
        <v>10</v>
      </c>
      <c r="E237" s="1" t="s">
        <v>326</v>
      </c>
      <c r="F237" s="29" t="s">
        <v>93</v>
      </c>
      <c r="G237" s="29"/>
      <c r="H237" s="27"/>
      <c r="I237" s="27">
        <v>88</v>
      </c>
      <c r="J237" s="27">
        <v>116</v>
      </c>
      <c r="K237" s="27">
        <v>134</v>
      </c>
      <c r="L237" s="27"/>
      <c r="M237" s="32">
        <f t="shared" si="43"/>
        <v>338</v>
      </c>
      <c r="N237" s="32" t="s">
        <v>1330</v>
      </c>
      <c r="O237" s="32"/>
      <c r="P237" s="42">
        <f t="shared" si="44"/>
        <v>337.9769</v>
      </c>
      <c r="Q237" s="32">
        <f t="shared" si="45"/>
        <v>3</v>
      </c>
      <c r="R237" s="32">
        <f t="shared" ca="1" si="46"/>
        <v>0</v>
      </c>
      <c r="S237" s="33" t="s">
        <v>129</v>
      </c>
      <c r="T237" s="34">
        <f t="shared" si="47"/>
        <v>0</v>
      </c>
      <c r="U237" s="34">
        <f t="shared" ca="1" si="48"/>
        <v>134</v>
      </c>
      <c r="V237" s="34">
        <f>-SUMPRODUCT((S$6:S236=S237)*(X$6:X236=X237))</f>
        <v>0</v>
      </c>
      <c r="W237" s="34">
        <f>-SUMPRODUCT((S$6:S236=S237)*(X$6:X236=X237)*(B$6:B236&lt;&gt;"NS"))</f>
        <v>0</v>
      </c>
      <c r="X237" s="35">
        <f t="shared" si="49"/>
        <v>338.14648</v>
      </c>
      <c r="Y237" s="27">
        <v>134</v>
      </c>
      <c r="Z237" s="27">
        <v>116</v>
      </c>
      <c r="AA237" s="27">
        <v>88</v>
      </c>
      <c r="AB237" s="29"/>
      <c r="AC237" s="27"/>
      <c r="AD237" s="27"/>
      <c r="AF237" s="36">
        <v>0</v>
      </c>
      <c r="AG237" s="36">
        <v>0</v>
      </c>
      <c r="AH237" s="36">
        <v>0</v>
      </c>
      <c r="AI237" s="36">
        <v>0</v>
      </c>
      <c r="AJ237" s="37">
        <v>2</v>
      </c>
      <c r="AK237" s="67">
        <v>203.97774799999999</v>
      </c>
      <c r="AL237" s="39">
        <v>116</v>
      </c>
      <c r="AM237" s="32">
        <v>320</v>
      </c>
      <c r="AN237" s="39"/>
      <c r="AO237" s="39"/>
      <c r="AP237" s="39"/>
      <c r="AQ237" s="30"/>
      <c r="AR237" s="26"/>
      <c r="AS237" s="1"/>
    </row>
    <row r="238" spans="1:45" ht="15">
      <c r="A238" s="61">
        <v>11</v>
      </c>
      <c r="B238" s="61">
        <v>11</v>
      </c>
      <c r="C238" s="40">
        <f t="shared" si="42"/>
        <v>11</v>
      </c>
      <c r="D238" s="40">
        <f t="shared" si="42"/>
        <v>11</v>
      </c>
      <c r="E238" s="1" t="s">
        <v>316</v>
      </c>
      <c r="F238" s="29" t="s">
        <v>69</v>
      </c>
      <c r="G238" s="29">
        <v>46</v>
      </c>
      <c r="H238" s="27">
        <v>84</v>
      </c>
      <c r="I238" s="27">
        <v>103</v>
      </c>
      <c r="J238" s="27"/>
      <c r="K238" s="27">
        <v>140</v>
      </c>
      <c r="L238" s="27"/>
      <c r="M238" s="32">
        <f t="shared" si="43"/>
        <v>327</v>
      </c>
      <c r="N238" s="32" t="s">
        <v>1330</v>
      </c>
      <c r="O238" s="32"/>
      <c r="P238" s="42">
        <f t="shared" si="44"/>
        <v>326.97680000000003</v>
      </c>
      <c r="Q238" s="32">
        <f t="shared" si="45"/>
        <v>4</v>
      </c>
      <c r="R238" s="32">
        <f t="shared" ca="1" si="46"/>
        <v>0</v>
      </c>
      <c r="S238" s="33" t="s">
        <v>129</v>
      </c>
      <c r="T238" s="34">
        <f t="shared" si="47"/>
        <v>0</v>
      </c>
      <c r="U238" s="34">
        <f t="shared" ca="1" si="48"/>
        <v>140</v>
      </c>
      <c r="V238" s="34">
        <f>-SUMPRODUCT((S$6:S237=S238)*(X$6:X237=X238))</f>
        <v>0</v>
      </c>
      <c r="W238" s="34">
        <f>-SUMPRODUCT((S$6:S237=S238)*(X$6:X237=X238)*(B$6:B237&lt;&gt;"NS"))</f>
        <v>0</v>
      </c>
      <c r="X238" s="35">
        <f t="shared" si="49"/>
        <v>327.15114</v>
      </c>
      <c r="Y238" s="27">
        <v>140</v>
      </c>
      <c r="Z238" s="27">
        <v>103</v>
      </c>
      <c r="AA238" s="27">
        <v>84</v>
      </c>
      <c r="AB238" s="29">
        <v>46</v>
      </c>
      <c r="AC238" s="27"/>
      <c r="AD238" s="27"/>
      <c r="AF238" s="36">
        <v>0</v>
      </c>
      <c r="AG238" s="36">
        <v>0</v>
      </c>
      <c r="AH238" s="36">
        <v>0</v>
      </c>
      <c r="AI238" s="36">
        <v>0</v>
      </c>
      <c r="AJ238" s="37">
        <v>3</v>
      </c>
      <c r="AK238" s="67">
        <v>233.03222999999997</v>
      </c>
      <c r="AL238" s="39">
        <v>103</v>
      </c>
      <c r="AM238" s="32">
        <v>290</v>
      </c>
      <c r="AN238" s="39"/>
      <c r="AO238" s="39"/>
      <c r="AP238" s="39"/>
      <c r="AQ238" s="30"/>
      <c r="AR238" s="26"/>
      <c r="AS238" s="1"/>
    </row>
    <row r="239" spans="1:45" ht="15">
      <c r="A239" s="61">
        <v>12</v>
      </c>
      <c r="B239" s="61">
        <v>12</v>
      </c>
      <c r="C239" s="40">
        <f t="shared" si="42"/>
        <v>12</v>
      </c>
      <c r="D239" s="40">
        <f t="shared" si="42"/>
        <v>12</v>
      </c>
      <c r="E239" s="1" t="s">
        <v>868</v>
      </c>
      <c r="F239" s="29" t="s">
        <v>25</v>
      </c>
      <c r="G239" s="29">
        <v>70</v>
      </c>
      <c r="H239" s="27">
        <v>118</v>
      </c>
      <c r="I239" s="27">
        <v>126</v>
      </c>
      <c r="J239" s="27"/>
      <c r="K239" s="27"/>
      <c r="L239" s="27"/>
      <c r="M239" s="32">
        <f t="shared" si="43"/>
        <v>314</v>
      </c>
      <c r="N239" s="32" t="s">
        <v>1330</v>
      </c>
      <c r="O239" s="32"/>
      <c r="P239" s="42">
        <f t="shared" si="44"/>
        <v>313.97669999999999</v>
      </c>
      <c r="Q239" s="32">
        <f t="shared" si="45"/>
        <v>3</v>
      </c>
      <c r="R239" s="32">
        <f t="shared" ca="1" si="46"/>
        <v>0</v>
      </c>
      <c r="S239" s="33" t="s">
        <v>129</v>
      </c>
      <c r="T239" s="34">
        <f t="shared" si="47"/>
        <v>0</v>
      </c>
      <c r="U239" s="34">
        <f t="shared" ca="1" si="48"/>
        <v>0</v>
      </c>
      <c r="V239" s="34">
        <f>-SUMPRODUCT((S$6:S238=S239)*(X$6:X238=X239))</f>
        <v>0</v>
      </c>
      <c r="W239" s="34">
        <f>-SUMPRODUCT((S$6:S238=S239)*(X$6:X238=X239)*(B$6:B238&lt;&gt;"NS"))</f>
        <v>0</v>
      </c>
      <c r="X239" s="35">
        <f t="shared" si="49"/>
        <v>314.13850000000002</v>
      </c>
      <c r="Y239" s="27">
        <v>126</v>
      </c>
      <c r="Z239" s="27">
        <v>118</v>
      </c>
      <c r="AA239" s="29">
        <v>70</v>
      </c>
      <c r="AB239" s="27"/>
      <c r="AC239" s="27"/>
      <c r="AD239" s="27"/>
      <c r="AF239" s="36">
        <v>0</v>
      </c>
      <c r="AG239" s="36">
        <v>0</v>
      </c>
      <c r="AH239" s="36">
        <v>0</v>
      </c>
      <c r="AI239" s="36">
        <v>0</v>
      </c>
      <c r="AJ239" s="37">
        <v>3</v>
      </c>
      <c r="AK239" s="67">
        <v>314.06036</v>
      </c>
      <c r="AL239" s="39">
        <v>126</v>
      </c>
      <c r="AM239" s="32">
        <v>370</v>
      </c>
      <c r="AN239" s="39"/>
      <c r="AO239" s="39"/>
      <c r="AP239" s="39"/>
      <c r="AQ239" s="30"/>
      <c r="AR239" s="26"/>
      <c r="AS239" s="1"/>
    </row>
    <row r="240" spans="1:45" ht="15">
      <c r="A240" s="61">
        <v>13</v>
      </c>
      <c r="B240" s="61">
        <v>13</v>
      </c>
      <c r="C240" s="40">
        <f t="shared" si="42"/>
        <v>13</v>
      </c>
      <c r="D240" s="40">
        <f t="shared" si="42"/>
        <v>13</v>
      </c>
      <c r="E240" s="1" t="s">
        <v>869</v>
      </c>
      <c r="F240" s="29" t="s">
        <v>88</v>
      </c>
      <c r="G240" s="29">
        <v>142</v>
      </c>
      <c r="H240" s="27"/>
      <c r="I240" s="27">
        <v>142</v>
      </c>
      <c r="J240" s="27"/>
      <c r="K240" s="27"/>
      <c r="L240" s="27"/>
      <c r="M240" s="32">
        <f t="shared" si="43"/>
        <v>284</v>
      </c>
      <c r="N240" s="32" t="s">
        <v>1330</v>
      </c>
      <c r="O240" s="32"/>
      <c r="P240" s="42">
        <f t="shared" si="44"/>
        <v>283.97660000000002</v>
      </c>
      <c r="Q240" s="32">
        <f t="shared" si="45"/>
        <v>2</v>
      </c>
      <c r="R240" s="32">
        <f t="shared" ca="1" si="46"/>
        <v>0</v>
      </c>
      <c r="S240" s="33" t="s">
        <v>129</v>
      </c>
      <c r="T240" s="34">
        <f t="shared" si="47"/>
        <v>0</v>
      </c>
      <c r="U240" s="34">
        <f t="shared" ca="1" si="48"/>
        <v>0</v>
      </c>
      <c r="V240" s="34">
        <f>-SUMPRODUCT((S$6:S239=S240)*(X$6:X239=X240))</f>
        <v>0</v>
      </c>
      <c r="W240" s="34">
        <f>-SUMPRODUCT((S$6:S239=S240)*(X$6:X239=X240)*(B$6:B239&lt;&gt;"NS"))</f>
        <v>0</v>
      </c>
      <c r="X240" s="35">
        <f t="shared" si="49"/>
        <v>284.15620000000001</v>
      </c>
      <c r="Y240" s="29">
        <v>142</v>
      </c>
      <c r="Z240" s="27">
        <v>142</v>
      </c>
      <c r="AA240" s="27"/>
      <c r="AB240" s="27"/>
      <c r="AC240" s="27"/>
      <c r="AD240" s="27"/>
      <c r="AF240" s="36">
        <v>0</v>
      </c>
      <c r="AG240" s="36">
        <v>0</v>
      </c>
      <c r="AH240" s="36">
        <v>0</v>
      </c>
      <c r="AI240" s="36">
        <v>0</v>
      </c>
      <c r="AJ240" s="37">
        <v>2</v>
      </c>
      <c r="AK240" s="67">
        <v>284.12041999999997</v>
      </c>
      <c r="AL240" s="39">
        <v>142</v>
      </c>
      <c r="AM240" s="32">
        <v>426</v>
      </c>
      <c r="AN240" s="39"/>
      <c r="AO240" s="39"/>
      <c r="AP240" s="39"/>
      <c r="AQ240" s="30"/>
      <c r="AR240" s="26"/>
      <c r="AS240" s="1"/>
    </row>
    <row r="241" spans="1:45" ht="15">
      <c r="A241" s="61">
        <v>14</v>
      </c>
      <c r="B241" s="61">
        <v>14</v>
      </c>
      <c r="C241" s="40">
        <f t="shared" si="42"/>
        <v>14</v>
      </c>
      <c r="D241" s="40">
        <f t="shared" si="42"/>
        <v>14</v>
      </c>
      <c r="E241" s="1" t="s">
        <v>347</v>
      </c>
      <c r="F241" s="29" t="s">
        <v>69</v>
      </c>
      <c r="G241" s="29">
        <v>32</v>
      </c>
      <c r="H241" s="27">
        <v>56</v>
      </c>
      <c r="I241" s="27">
        <v>70</v>
      </c>
      <c r="J241" s="27">
        <v>88</v>
      </c>
      <c r="K241" s="27">
        <v>119</v>
      </c>
      <c r="L241" s="27"/>
      <c r="M241" s="32">
        <f t="shared" si="43"/>
        <v>277</v>
      </c>
      <c r="N241" s="32" t="s">
        <v>1330</v>
      </c>
      <c r="O241" s="32"/>
      <c r="P241" s="42">
        <f t="shared" si="44"/>
        <v>276.97649999999999</v>
      </c>
      <c r="Q241" s="32">
        <f t="shared" si="45"/>
        <v>5</v>
      </c>
      <c r="R241" s="32">
        <f t="shared" ca="1" si="46"/>
        <v>0</v>
      </c>
      <c r="S241" s="33" t="s">
        <v>129</v>
      </c>
      <c r="T241" s="34">
        <f t="shared" si="47"/>
        <v>0</v>
      </c>
      <c r="U241" s="34">
        <f t="shared" ca="1" si="48"/>
        <v>119</v>
      </c>
      <c r="V241" s="34">
        <f>-SUMPRODUCT((S$6:S240=S241)*(X$6:X240=X241))</f>
        <v>0</v>
      </c>
      <c r="W241" s="34">
        <f>-SUMPRODUCT((S$6:S240=S241)*(X$6:X240=X241)*(B$6:B240&lt;&gt;"NS"))</f>
        <v>0</v>
      </c>
      <c r="X241" s="35">
        <f t="shared" si="49"/>
        <v>277.12849999999997</v>
      </c>
      <c r="Y241" s="27">
        <v>119</v>
      </c>
      <c r="Z241" s="27">
        <v>88</v>
      </c>
      <c r="AA241" s="27">
        <v>70</v>
      </c>
      <c r="AB241" s="27">
        <v>56</v>
      </c>
      <c r="AC241" s="29">
        <v>32</v>
      </c>
      <c r="AD241" s="27"/>
      <c r="AF241" s="36">
        <v>0</v>
      </c>
      <c r="AG241" s="36">
        <v>0</v>
      </c>
      <c r="AH241" s="36">
        <v>0</v>
      </c>
      <c r="AI241" s="36">
        <v>0</v>
      </c>
      <c r="AJ241" s="37">
        <v>4</v>
      </c>
      <c r="AK241" s="67">
        <v>214.01514999999998</v>
      </c>
      <c r="AL241" s="39">
        <v>88</v>
      </c>
      <c r="AM241" s="32">
        <v>246</v>
      </c>
      <c r="AN241" s="39"/>
      <c r="AO241" s="39"/>
      <c r="AP241" s="39"/>
      <c r="AQ241" s="30"/>
      <c r="AR241" s="26"/>
      <c r="AS241" s="1"/>
    </row>
    <row r="242" spans="1:45" ht="15">
      <c r="A242" s="61">
        <v>15</v>
      </c>
      <c r="B242" s="61">
        <v>15</v>
      </c>
      <c r="C242" s="40">
        <f t="shared" si="42"/>
        <v>15</v>
      </c>
      <c r="D242" s="40">
        <f t="shared" si="42"/>
        <v>15</v>
      </c>
      <c r="E242" s="1" t="s">
        <v>870</v>
      </c>
      <c r="F242" s="29" t="s">
        <v>61</v>
      </c>
      <c r="G242" s="29"/>
      <c r="H242" s="27">
        <v>129</v>
      </c>
      <c r="I242" s="27">
        <v>121</v>
      </c>
      <c r="J242" s="27"/>
      <c r="K242" s="27"/>
      <c r="L242" s="27"/>
      <c r="M242" s="32">
        <f t="shared" si="43"/>
        <v>250</v>
      </c>
      <c r="N242" s="32" t="s">
        <v>1330</v>
      </c>
      <c r="O242" s="32"/>
      <c r="P242" s="42">
        <f t="shared" si="44"/>
        <v>249.97640000000001</v>
      </c>
      <c r="Q242" s="32">
        <f t="shared" si="45"/>
        <v>2</v>
      </c>
      <c r="R242" s="32">
        <f t="shared" ca="1" si="46"/>
        <v>0</v>
      </c>
      <c r="S242" s="33" t="s">
        <v>129</v>
      </c>
      <c r="T242" s="34">
        <f t="shared" si="47"/>
        <v>0</v>
      </c>
      <c r="U242" s="34">
        <f t="shared" ca="1" si="48"/>
        <v>0</v>
      </c>
      <c r="V242" s="34">
        <f>-SUMPRODUCT((S$6:S241=S242)*(X$6:X241=X242))</f>
        <v>0</v>
      </c>
      <c r="W242" s="34">
        <f>-SUMPRODUCT((S$6:S241=S242)*(X$6:X241=X242)*(B$6:B241&lt;&gt;"NS"))</f>
        <v>0</v>
      </c>
      <c r="X242" s="35">
        <f t="shared" si="49"/>
        <v>250.14109999999999</v>
      </c>
      <c r="Y242" s="27">
        <v>129</v>
      </c>
      <c r="Z242" s="27">
        <v>121</v>
      </c>
      <c r="AA242" s="29"/>
      <c r="AB242" s="27"/>
      <c r="AC242" s="27"/>
      <c r="AD242" s="27"/>
      <c r="AF242" s="36">
        <v>0</v>
      </c>
      <c r="AG242" s="36">
        <v>0</v>
      </c>
      <c r="AH242" s="36">
        <v>0</v>
      </c>
      <c r="AI242" s="36">
        <v>0</v>
      </c>
      <c r="AJ242" s="37">
        <v>2</v>
      </c>
      <c r="AK242" s="67">
        <v>249.99100999999999</v>
      </c>
      <c r="AL242" s="39">
        <v>129</v>
      </c>
      <c r="AM242" s="32">
        <v>379</v>
      </c>
      <c r="AN242" s="39"/>
      <c r="AO242" s="39"/>
      <c r="AP242" s="39"/>
      <c r="AQ242" s="30"/>
      <c r="AR242" s="26"/>
      <c r="AS242" s="1"/>
    </row>
    <row r="243" spans="1:45" ht="15">
      <c r="A243" s="61">
        <v>16</v>
      </c>
      <c r="B243" s="61">
        <v>16</v>
      </c>
      <c r="C243" s="40">
        <f t="shared" si="42"/>
        <v>16</v>
      </c>
      <c r="D243" s="40">
        <f t="shared" si="42"/>
        <v>16</v>
      </c>
      <c r="E243" s="1" t="s">
        <v>871</v>
      </c>
      <c r="F243" s="29" t="s">
        <v>69</v>
      </c>
      <c r="G243" s="29">
        <v>22</v>
      </c>
      <c r="H243" s="27"/>
      <c r="I243" s="27">
        <v>95</v>
      </c>
      <c r="J243" s="27">
        <v>109</v>
      </c>
      <c r="K243" s="27"/>
      <c r="L243" s="27"/>
      <c r="M243" s="32">
        <f t="shared" si="43"/>
        <v>226</v>
      </c>
      <c r="N243" s="32" t="s">
        <v>1330</v>
      </c>
      <c r="O243" s="32"/>
      <c r="P243" s="42">
        <f t="shared" si="44"/>
        <v>225.97630000000001</v>
      </c>
      <c r="Q243" s="32">
        <f t="shared" si="45"/>
        <v>3</v>
      </c>
      <c r="R243" s="32">
        <f t="shared" ca="1" si="46"/>
        <v>0</v>
      </c>
      <c r="S243" s="33" t="s">
        <v>129</v>
      </c>
      <c r="T243" s="34">
        <f t="shared" si="47"/>
        <v>0</v>
      </c>
      <c r="U243" s="34">
        <f t="shared" ca="1" si="48"/>
        <v>0</v>
      </c>
      <c r="V243" s="34">
        <f>-SUMPRODUCT((S$6:S242=S243)*(X$6:X242=X243))</f>
        <v>0</v>
      </c>
      <c r="W243" s="34">
        <f>-SUMPRODUCT((S$6:S242=S243)*(X$6:X242=X243)*(B$6:B242&lt;&gt;"NS"))</f>
        <v>0</v>
      </c>
      <c r="X243" s="35">
        <f t="shared" si="49"/>
        <v>226.11872</v>
      </c>
      <c r="Y243" s="27">
        <v>109</v>
      </c>
      <c r="Z243" s="27">
        <v>95</v>
      </c>
      <c r="AA243" s="29">
        <v>22</v>
      </c>
      <c r="AB243" s="27"/>
      <c r="AC243" s="27"/>
      <c r="AD243" s="27"/>
      <c r="AF243" s="36">
        <v>0</v>
      </c>
      <c r="AG243" s="36">
        <v>0</v>
      </c>
      <c r="AH243" s="36">
        <v>0</v>
      </c>
      <c r="AI243" s="36">
        <v>0</v>
      </c>
      <c r="AJ243" s="37">
        <v>3</v>
      </c>
      <c r="AK243" s="67">
        <v>225.99988499999998</v>
      </c>
      <c r="AL243" s="39">
        <v>109</v>
      </c>
      <c r="AM243" s="32">
        <v>313</v>
      </c>
      <c r="AN243" s="39"/>
      <c r="AO243" s="39"/>
      <c r="AP243" s="39"/>
      <c r="AQ243" s="30"/>
      <c r="AR243" s="26"/>
      <c r="AS243" s="1"/>
    </row>
    <row r="244" spans="1:45" ht="15">
      <c r="A244" s="61">
        <v>17</v>
      </c>
      <c r="B244" s="61">
        <v>17</v>
      </c>
      <c r="C244" s="40">
        <f t="shared" si="42"/>
        <v>17</v>
      </c>
      <c r="D244" s="40">
        <f t="shared" si="42"/>
        <v>17</v>
      </c>
      <c r="E244" s="1" t="s">
        <v>249</v>
      </c>
      <c r="F244" s="29" t="s">
        <v>118</v>
      </c>
      <c r="G244" s="29"/>
      <c r="H244" s="27"/>
      <c r="I244" s="27"/>
      <c r="J244" s="27"/>
      <c r="K244" s="27">
        <v>166</v>
      </c>
      <c r="L244" s="27"/>
      <c r="M244" s="32">
        <f t="shared" si="43"/>
        <v>166</v>
      </c>
      <c r="N244" s="32" t="s">
        <v>1330</v>
      </c>
      <c r="O244" s="32"/>
      <c r="P244" s="42">
        <f t="shared" si="44"/>
        <v>165.97620000000001</v>
      </c>
      <c r="Q244" s="32">
        <f t="shared" si="45"/>
        <v>1</v>
      </c>
      <c r="R244" s="32" t="str">
        <f t="shared" ca="1" si="46"/>
        <v>Y</v>
      </c>
      <c r="S244" s="33" t="s">
        <v>129</v>
      </c>
      <c r="T244" s="34">
        <f t="shared" si="47"/>
        <v>0</v>
      </c>
      <c r="U244" s="34">
        <f t="shared" ca="1" si="48"/>
        <v>166</v>
      </c>
      <c r="V244" s="34">
        <f>-SUMPRODUCT((S$6:S243=S244)*(X$6:X243=X244))</f>
        <v>0</v>
      </c>
      <c r="W244" s="34">
        <f>-SUMPRODUCT((S$6:S243=S244)*(X$6:X243=X244)*(B$6:B243&lt;&gt;"NS"))</f>
        <v>0</v>
      </c>
      <c r="X244" s="35">
        <f t="shared" si="49"/>
        <v>166.166</v>
      </c>
      <c r="Y244" s="27">
        <v>166</v>
      </c>
      <c r="Z244" s="29"/>
      <c r="AA244" s="27"/>
      <c r="AB244" s="27"/>
      <c r="AC244" s="27"/>
      <c r="AD244" s="27"/>
      <c r="AF244" s="36"/>
      <c r="AG244" s="36"/>
      <c r="AH244" s="36"/>
      <c r="AI244" s="36"/>
      <c r="AJ244" s="37"/>
      <c r="AK244" s="67"/>
      <c r="AL244" s="39"/>
      <c r="AM244" s="32"/>
      <c r="AN244" s="39"/>
      <c r="AO244" s="39"/>
      <c r="AP244" s="39"/>
      <c r="AQ244" s="30"/>
      <c r="AR244" s="26"/>
      <c r="AS244" s="1"/>
    </row>
    <row r="245" spans="1:45" ht="15">
      <c r="A245" s="61">
        <v>18</v>
      </c>
      <c r="B245" s="61">
        <v>18</v>
      </c>
      <c r="C245" s="40">
        <f t="shared" si="42"/>
        <v>18</v>
      </c>
      <c r="D245" s="40">
        <f t="shared" si="42"/>
        <v>18</v>
      </c>
      <c r="E245" s="1" t="s">
        <v>872</v>
      </c>
      <c r="F245" s="29" t="s">
        <v>57</v>
      </c>
      <c r="G245" s="29">
        <v>65</v>
      </c>
      <c r="H245" s="27"/>
      <c r="I245" s="27">
        <v>100</v>
      </c>
      <c r="J245" s="27"/>
      <c r="K245" s="27"/>
      <c r="L245" s="27"/>
      <c r="M245" s="32">
        <f t="shared" si="43"/>
        <v>165</v>
      </c>
      <c r="N245" s="32" t="s">
        <v>1330</v>
      </c>
      <c r="O245" s="32"/>
      <c r="P245" s="42">
        <f t="shared" si="44"/>
        <v>164.9761</v>
      </c>
      <c r="Q245" s="32">
        <f t="shared" si="45"/>
        <v>2</v>
      </c>
      <c r="R245" s="32">
        <f t="shared" ca="1" si="46"/>
        <v>0</v>
      </c>
      <c r="S245" s="33" t="s">
        <v>129</v>
      </c>
      <c r="T245" s="34">
        <f t="shared" si="47"/>
        <v>0</v>
      </c>
      <c r="U245" s="34">
        <f t="shared" ca="1" si="48"/>
        <v>0</v>
      </c>
      <c r="V245" s="34">
        <f>-SUMPRODUCT((S$6:S244=S245)*(X$6:X244=X245))</f>
        <v>0</v>
      </c>
      <c r="W245" s="34">
        <f>-SUMPRODUCT((S$6:S244=S245)*(X$6:X244=X245)*(B$6:B244&lt;&gt;"NS"))</f>
        <v>0</v>
      </c>
      <c r="X245" s="35">
        <f t="shared" si="49"/>
        <v>165.10650000000001</v>
      </c>
      <c r="Y245" s="27">
        <v>100</v>
      </c>
      <c r="Z245" s="29">
        <v>65</v>
      </c>
      <c r="AA245" s="27"/>
      <c r="AB245" s="27"/>
      <c r="AC245" s="27"/>
      <c r="AD245" s="27"/>
      <c r="AF245" s="36">
        <v>0</v>
      </c>
      <c r="AG245" s="36">
        <v>0</v>
      </c>
      <c r="AH245" s="36">
        <v>0</v>
      </c>
      <c r="AI245" s="36">
        <v>0</v>
      </c>
      <c r="AJ245" s="37">
        <v>2</v>
      </c>
      <c r="AK245" s="67">
        <v>165.04240000000001</v>
      </c>
      <c r="AL245" s="39">
        <v>100</v>
      </c>
      <c r="AM245" s="32">
        <v>265</v>
      </c>
      <c r="AN245" s="39"/>
      <c r="AO245" s="39"/>
      <c r="AP245" s="39"/>
      <c r="AQ245" s="30"/>
      <c r="AR245" s="26"/>
      <c r="AS245" s="1"/>
    </row>
    <row r="246" spans="1:45" ht="15">
      <c r="A246" s="61">
        <v>19</v>
      </c>
      <c r="B246" s="61">
        <v>19</v>
      </c>
      <c r="C246" s="40">
        <f t="shared" si="42"/>
        <v>19</v>
      </c>
      <c r="D246" s="40">
        <f t="shared" si="42"/>
        <v>19</v>
      </c>
      <c r="E246" s="1" t="s">
        <v>873</v>
      </c>
      <c r="F246" s="29" t="s">
        <v>66</v>
      </c>
      <c r="G246" s="29">
        <v>68</v>
      </c>
      <c r="H246" s="27">
        <v>96</v>
      </c>
      <c r="I246" s="27"/>
      <c r="J246" s="27"/>
      <c r="K246" s="27"/>
      <c r="L246" s="27"/>
      <c r="M246" s="32">
        <f t="shared" si="43"/>
        <v>164</v>
      </c>
      <c r="N246" s="32" t="s">
        <v>1330</v>
      </c>
      <c r="O246" s="32"/>
      <c r="P246" s="42">
        <f t="shared" si="44"/>
        <v>163.976</v>
      </c>
      <c r="Q246" s="32">
        <f t="shared" si="45"/>
        <v>2</v>
      </c>
      <c r="R246" s="32">
        <f t="shared" ca="1" si="46"/>
        <v>0</v>
      </c>
      <c r="S246" s="33" t="s">
        <v>129</v>
      </c>
      <c r="T246" s="34">
        <f t="shared" si="47"/>
        <v>0</v>
      </c>
      <c r="U246" s="34">
        <f t="shared" ca="1" si="48"/>
        <v>0</v>
      </c>
      <c r="V246" s="34">
        <f>-SUMPRODUCT((S$6:S245=S246)*(X$6:X245=X246))</f>
        <v>0</v>
      </c>
      <c r="W246" s="34">
        <f>-SUMPRODUCT((S$6:S245=S246)*(X$6:X245=X246)*(B$6:B245&lt;&gt;"NS"))</f>
        <v>0</v>
      </c>
      <c r="X246" s="35">
        <f t="shared" si="49"/>
        <v>164.1028</v>
      </c>
      <c r="Y246" s="27">
        <v>96</v>
      </c>
      <c r="Z246" s="29">
        <v>68</v>
      </c>
      <c r="AA246" s="27"/>
      <c r="AB246" s="27"/>
      <c r="AC246" s="27"/>
      <c r="AD246" s="27"/>
      <c r="AF246" s="36">
        <v>0</v>
      </c>
      <c r="AG246" s="36">
        <v>0</v>
      </c>
      <c r="AH246" s="36">
        <v>0</v>
      </c>
      <c r="AI246" s="36">
        <v>0</v>
      </c>
      <c r="AJ246" s="37">
        <v>2</v>
      </c>
      <c r="AK246" s="67">
        <v>164.05390000000003</v>
      </c>
      <c r="AL246" s="39">
        <v>96</v>
      </c>
      <c r="AM246" s="32">
        <v>260</v>
      </c>
      <c r="AN246" s="39"/>
      <c r="AO246" s="39"/>
      <c r="AP246" s="39"/>
      <c r="AQ246" s="30"/>
      <c r="AR246" s="26"/>
      <c r="AS246" s="1"/>
    </row>
    <row r="247" spans="1:45" ht="15">
      <c r="A247" s="61">
        <v>20</v>
      </c>
      <c r="B247" s="61" t="s">
        <v>111</v>
      </c>
      <c r="C247" s="40">
        <f t="shared" si="42"/>
        <v>20</v>
      </c>
      <c r="D247" s="40" t="str">
        <f t="shared" si="42"/>
        <v>NS</v>
      </c>
      <c r="E247" s="1" t="s">
        <v>874</v>
      </c>
      <c r="F247" s="29" t="s">
        <v>201</v>
      </c>
      <c r="G247" s="29"/>
      <c r="H247" s="27">
        <v>148</v>
      </c>
      <c r="I247" s="27"/>
      <c r="J247" s="27"/>
      <c r="K247" s="27"/>
      <c r="L247" s="27"/>
      <c r="M247" s="32">
        <f t="shared" si="43"/>
        <v>148</v>
      </c>
      <c r="N247" s="32" t="s">
        <v>1331</v>
      </c>
      <c r="O247" s="32"/>
      <c r="P247" s="42">
        <f t="shared" si="44"/>
        <v>147.9759</v>
      </c>
      <c r="Q247" s="32">
        <f t="shared" si="45"/>
        <v>1</v>
      </c>
      <c r="R247" s="32">
        <f t="shared" ca="1" si="46"/>
        <v>0</v>
      </c>
      <c r="S247" s="33" t="s">
        <v>129</v>
      </c>
      <c r="T247" s="34">
        <f t="shared" si="47"/>
        <v>0</v>
      </c>
      <c r="U247" s="34">
        <f t="shared" ca="1" si="48"/>
        <v>0</v>
      </c>
      <c r="V247" s="34">
        <f>-SUMPRODUCT((S$6:S246=S247)*(X$6:X246=X247))</f>
        <v>0</v>
      </c>
      <c r="W247" s="34">
        <f>-SUMPRODUCT((S$6:S246=S247)*(X$6:X246=X247)*(B$6:B246&lt;&gt;"NS"))</f>
        <v>0</v>
      </c>
      <c r="X247" s="35">
        <f t="shared" si="49"/>
        <v>148.148</v>
      </c>
      <c r="Y247" s="27">
        <v>148</v>
      </c>
      <c r="Z247" s="29"/>
      <c r="AA247" s="27"/>
      <c r="AB247" s="27"/>
      <c r="AC247" s="27"/>
      <c r="AD247" s="27"/>
      <c r="AF247" s="36">
        <v>0</v>
      </c>
      <c r="AG247" s="36">
        <v>0</v>
      </c>
      <c r="AH247" s="36">
        <v>0</v>
      </c>
      <c r="AI247" s="36">
        <v>0</v>
      </c>
      <c r="AJ247" s="37">
        <v>1</v>
      </c>
      <c r="AK247" s="67">
        <v>147.99100000000001</v>
      </c>
      <c r="AL247" s="39">
        <v>148</v>
      </c>
      <c r="AM247" s="32">
        <v>0</v>
      </c>
      <c r="AN247" s="39"/>
      <c r="AO247" s="39"/>
      <c r="AP247" s="39"/>
      <c r="AQ247" s="30"/>
      <c r="AR247" s="26"/>
      <c r="AS247" s="1"/>
    </row>
    <row r="248" spans="1:45" ht="15">
      <c r="A248" s="61">
        <v>21</v>
      </c>
      <c r="B248" s="61">
        <v>20</v>
      </c>
      <c r="C248" s="40">
        <f t="shared" si="42"/>
        <v>21</v>
      </c>
      <c r="D248" s="40">
        <f t="shared" si="42"/>
        <v>20</v>
      </c>
      <c r="E248" s="1" t="s">
        <v>875</v>
      </c>
      <c r="F248" s="29" t="s">
        <v>38</v>
      </c>
      <c r="G248" s="29">
        <v>23</v>
      </c>
      <c r="H248" s="27">
        <v>58</v>
      </c>
      <c r="I248" s="27">
        <v>62</v>
      </c>
      <c r="J248" s="27"/>
      <c r="K248" s="27"/>
      <c r="L248" s="27"/>
      <c r="M248" s="32">
        <f t="shared" si="43"/>
        <v>143</v>
      </c>
      <c r="N248" s="32" t="s">
        <v>1330</v>
      </c>
      <c r="O248" s="32"/>
      <c r="P248" s="42">
        <f t="shared" si="44"/>
        <v>142.97579999999999</v>
      </c>
      <c r="Q248" s="32">
        <f t="shared" si="45"/>
        <v>3</v>
      </c>
      <c r="R248" s="32">
        <f t="shared" ca="1" si="46"/>
        <v>0</v>
      </c>
      <c r="S248" s="33" t="s">
        <v>129</v>
      </c>
      <c r="T248" s="34">
        <f t="shared" si="47"/>
        <v>0</v>
      </c>
      <c r="U248" s="34">
        <f t="shared" ca="1" si="48"/>
        <v>0</v>
      </c>
      <c r="V248" s="34">
        <f>-SUMPRODUCT((S$6:S247=S248)*(X$6:X247=X248))</f>
        <v>0</v>
      </c>
      <c r="W248" s="34">
        <f>-SUMPRODUCT((S$6:S247=S248)*(X$6:X247=X248)*(B$6:B247&lt;&gt;"NS"))</f>
        <v>0</v>
      </c>
      <c r="X248" s="35">
        <f t="shared" si="49"/>
        <v>143.06802999999999</v>
      </c>
      <c r="Y248" s="27">
        <v>62</v>
      </c>
      <c r="Z248" s="27">
        <v>58</v>
      </c>
      <c r="AA248" s="29">
        <v>23</v>
      </c>
      <c r="AB248" s="27"/>
      <c r="AC248" s="27"/>
      <c r="AD248" s="27"/>
      <c r="AF248" s="36">
        <v>0</v>
      </c>
      <c r="AG248" s="36">
        <v>0</v>
      </c>
      <c r="AH248" s="36">
        <v>0</v>
      </c>
      <c r="AI248" s="36">
        <v>0</v>
      </c>
      <c r="AJ248" s="37">
        <v>3</v>
      </c>
      <c r="AK248" s="67">
        <v>143.00551999999999</v>
      </c>
      <c r="AL248" s="39">
        <v>62</v>
      </c>
      <c r="AM248" s="32">
        <v>182</v>
      </c>
      <c r="AN248" s="39"/>
      <c r="AO248" s="39"/>
      <c r="AP248" s="39"/>
      <c r="AQ248" s="30"/>
      <c r="AR248" s="26"/>
      <c r="AS248" s="1"/>
    </row>
    <row r="249" spans="1:45" ht="15">
      <c r="A249" s="61">
        <v>22</v>
      </c>
      <c r="B249" s="61">
        <v>21</v>
      </c>
      <c r="C249" s="40">
        <f t="shared" si="42"/>
        <v>22</v>
      </c>
      <c r="D249" s="40">
        <f t="shared" si="42"/>
        <v>21</v>
      </c>
      <c r="E249" s="1" t="s">
        <v>876</v>
      </c>
      <c r="F249" s="29" t="s">
        <v>25</v>
      </c>
      <c r="G249" s="29">
        <v>106</v>
      </c>
      <c r="H249" s="27"/>
      <c r="I249" s="27"/>
      <c r="J249" s="27"/>
      <c r="K249" s="27"/>
      <c r="L249" s="27"/>
      <c r="M249" s="32">
        <f t="shared" si="43"/>
        <v>106</v>
      </c>
      <c r="N249" s="32" t="s">
        <v>1330</v>
      </c>
      <c r="O249" s="32"/>
      <c r="P249" s="42">
        <f t="shared" si="44"/>
        <v>105.9757</v>
      </c>
      <c r="Q249" s="32">
        <f t="shared" si="45"/>
        <v>1</v>
      </c>
      <c r="R249" s="32">
        <f t="shared" ca="1" si="46"/>
        <v>0</v>
      </c>
      <c r="S249" s="33" t="s">
        <v>129</v>
      </c>
      <c r="T249" s="34">
        <f t="shared" si="47"/>
        <v>0</v>
      </c>
      <c r="U249" s="34">
        <f t="shared" ca="1" si="48"/>
        <v>0</v>
      </c>
      <c r="V249" s="34">
        <f>-SUMPRODUCT((S$6:S248=S249)*(X$6:X248=X249))</f>
        <v>0</v>
      </c>
      <c r="W249" s="34">
        <f>-SUMPRODUCT((S$6:S248=S249)*(X$6:X248=X249)*(B$6:B248&lt;&gt;"NS"))</f>
        <v>0</v>
      </c>
      <c r="X249" s="35">
        <f t="shared" si="49"/>
        <v>106.10599999999999</v>
      </c>
      <c r="Y249" s="29">
        <v>106</v>
      </c>
      <c r="Z249" s="27"/>
      <c r="AA249" s="27"/>
      <c r="AB249" s="27"/>
      <c r="AC249" s="27"/>
      <c r="AD249" s="27"/>
      <c r="AF249" s="36">
        <v>0</v>
      </c>
      <c r="AG249" s="36">
        <v>0</v>
      </c>
      <c r="AH249" s="36">
        <v>0</v>
      </c>
      <c r="AI249" s="36">
        <v>0</v>
      </c>
      <c r="AJ249" s="37">
        <v>1</v>
      </c>
      <c r="AK249" s="67">
        <v>106.08199999999999</v>
      </c>
      <c r="AL249" s="39">
        <v>106</v>
      </c>
      <c r="AM249" s="32">
        <v>212</v>
      </c>
      <c r="AN249" s="39"/>
      <c r="AO249" s="39"/>
      <c r="AP249" s="39"/>
      <c r="AQ249" s="30"/>
      <c r="AR249" s="26"/>
      <c r="AS249" s="1"/>
    </row>
    <row r="250" spans="1:45" ht="15">
      <c r="A250" s="61">
        <v>23</v>
      </c>
      <c r="B250" s="61">
        <v>22</v>
      </c>
      <c r="C250" s="40">
        <f t="shared" si="42"/>
        <v>23</v>
      </c>
      <c r="D250" s="40">
        <f t="shared" si="42"/>
        <v>22</v>
      </c>
      <c r="E250" s="1" t="s">
        <v>877</v>
      </c>
      <c r="F250" s="29" t="s">
        <v>69</v>
      </c>
      <c r="G250" s="29"/>
      <c r="H250" s="27">
        <v>91</v>
      </c>
      <c r="I250" s="27"/>
      <c r="J250" s="27"/>
      <c r="K250" s="27"/>
      <c r="L250" s="27"/>
      <c r="M250" s="32">
        <f t="shared" si="43"/>
        <v>91</v>
      </c>
      <c r="N250" s="32" t="s">
        <v>1330</v>
      </c>
      <c r="O250" s="32"/>
      <c r="P250" s="42">
        <f t="shared" si="44"/>
        <v>90.9756</v>
      </c>
      <c r="Q250" s="32">
        <f t="shared" si="45"/>
        <v>1</v>
      </c>
      <c r="R250" s="32">
        <f t="shared" ca="1" si="46"/>
        <v>0</v>
      </c>
      <c r="S250" s="33" t="s">
        <v>129</v>
      </c>
      <c r="T250" s="34">
        <f t="shared" si="47"/>
        <v>0</v>
      </c>
      <c r="U250" s="34">
        <f t="shared" ca="1" si="48"/>
        <v>0</v>
      </c>
      <c r="V250" s="34">
        <f>-SUMPRODUCT((S$6:S249=S250)*(X$6:X249=X250))</f>
        <v>0</v>
      </c>
      <c r="W250" s="34">
        <f>-SUMPRODUCT((S$6:S249=S250)*(X$6:X249=X250)*(B$6:B249&lt;&gt;"NS"))</f>
        <v>0</v>
      </c>
      <c r="X250" s="35">
        <f t="shared" si="49"/>
        <v>91.090999999999994</v>
      </c>
      <c r="Y250" s="27">
        <v>91</v>
      </c>
      <c r="Z250" s="29"/>
      <c r="AA250" s="27"/>
      <c r="AB250" s="27"/>
      <c r="AC250" s="27"/>
      <c r="AD250" s="27"/>
      <c r="AF250" s="36">
        <v>0</v>
      </c>
      <c r="AG250" s="36">
        <v>0</v>
      </c>
      <c r="AH250" s="36">
        <v>0</v>
      </c>
      <c r="AI250" s="36">
        <v>0</v>
      </c>
      <c r="AJ250" s="37">
        <v>1</v>
      </c>
      <c r="AK250" s="67">
        <v>90.984999999999999</v>
      </c>
      <c r="AL250" s="39">
        <v>91</v>
      </c>
      <c r="AM250" s="32">
        <v>182</v>
      </c>
      <c r="AN250" s="39"/>
      <c r="AO250" s="39"/>
      <c r="AP250" s="39"/>
      <c r="AQ250" s="30"/>
      <c r="AR250" s="26"/>
      <c r="AS250" s="1"/>
    </row>
    <row r="251" spans="1:45" ht="15">
      <c r="A251" s="61">
        <v>24</v>
      </c>
      <c r="B251" s="61">
        <v>23</v>
      </c>
      <c r="C251" s="40">
        <f t="shared" si="42"/>
        <v>24</v>
      </c>
      <c r="D251" s="40">
        <f t="shared" si="42"/>
        <v>23</v>
      </c>
      <c r="E251" s="1" t="s">
        <v>878</v>
      </c>
      <c r="F251" s="29" t="s">
        <v>118</v>
      </c>
      <c r="G251" s="29"/>
      <c r="H251" s="27">
        <v>90</v>
      </c>
      <c r="I251" s="27"/>
      <c r="J251" s="27"/>
      <c r="K251" s="27"/>
      <c r="L251" s="27"/>
      <c r="M251" s="32">
        <f t="shared" si="43"/>
        <v>90</v>
      </c>
      <c r="N251" s="32" t="s">
        <v>1330</v>
      </c>
      <c r="O251" s="32"/>
      <c r="P251" s="42">
        <f t="shared" si="44"/>
        <v>89.975499999999997</v>
      </c>
      <c r="Q251" s="32">
        <f t="shared" si="45"/>
        <v>1</v>
      </c>
      <c r="R251" s="32">
        <f t="shared" ca="1" si="46"/>
        <v>0</v>
      </c>
      <c r="S251" s="33" t="s">
        <v>129</v>
      </c>
      <c r="T251" s="34">
        <f t="shared" si="47"/>
        <v>0</v>
      </c>
      <c r="U251" s="34">
        <f t="shared" ca="1" si="48"/>
        <v>0</v>
      </c>
      <c r="V251" s="34">
        <f>-SUMPRODUCT((S$6:S250=S251)*(X$6:X250=X251))</f>
        <v>0</v>
      </c>
      <c r="W251" s="34">
        <f>-SUMPRODUCT((S$6:S250=S251)*(X$6:X250=X251)*(B$6:B250&lt;&gt;"NS"))</f>
        <v>0</v>
      </c>
      <c r="X251" s="35">
        <f t="shared" si="49"/>
        <v>90.09</v>
      </c>
      <c r="Y251" s="27">
        <v>90</v>
      </c>
      <c r="Z251" s="29"/>
      <c r="AA251" s="27"/>
      <c r="AB251" s="27"/>
      <c r="AC251" s="27"/>
      <c r="AD251" s="27"/>
      <c r="AF251" s="36">
        <v>0</v>
      </c>
      <c r="AG251" s="36">
        <v>0</v>
      </c>
      <c r="AH251" s="36">
        <v>0</v>
      </c>
      <c r="AI251" s="36">
        <v>0</v>
      </c>
      <c r="AJ251" s="37">
        <v>1</v>
      </c>
      <c r="AK251" s="67">
        <v>89.984800000000007</v>
      </c>
      <c r="AL251" s="39">
        <v>90</v>
      </c>
      <c r="AM251" s="32">
        <v>180</v>
      </c>
      <c r="AN251" s="39"/>
      <c r="AO251" s="39"/>
      <c r="AP251" s="39"/>
      <c r="AQ251" s="30"/>
      <c r="AR251" s="26"/>
      <c r="AS251" s="1"/>
    </row>
    <row r="252" spans="1:45" ht="15">
      <c r="A252" s="61">
        <v>25</v>
      </c>
      <c r="B252" s="61">
        <v>24</v>
      </c>
      <c r="C252" s="40">
        <f t="shared" si="42"/>
        <v>25</v>
      </c>
      <c r="D252" s="40">
        <f t="shared" si="42"/>
        <v>24</v>
      </c>
      <c r="E252" s="1" t="s">
        <v>879</v>
      </c>
      <c r="F252" s="29" t="s">
        <v>162</v>
      </c>
      <c r="G252" s="29">
        <v>87</v>
      </c>
      <c r="H252" s="27"/>
      <c r="I252" s="27"/>
      <c r="J252" s="27"/>
      <c r="K252" s="27"/>
      <c r="L252" s="27"/>
      <c r="M252" s="32">
        <f t="shared" si="43"/>
        <v>87</v>
      </c>
      <c r="N252" s="32" t="s">
        <v>1330</v>
      </c>
      <c r="O252" s="32"/>
      <c r="P252" s="42">
        <f t="shared" si="44"/>
        <v>86.975399999999993</v>
      </c>
      <c r="Q252" s="32">
        <f t="shared" si="45"/>
        <v>1</v>
      </c>
      <c r="R252" s="32">
        <f t="shared" ca="1" si="46"/>
        <v>0</v>
      </c>
      <c r="S252" s="33" t="s">
        <v>129</v>
      </c>
      <c r="T252" s="34">
        <f t="shared" si="47"/>
        <v>0</v>
      </c>
      <c r="U252" s="34">
        <f t="shared" ca="1" si="48"/>
        <v>0</v>
      </c>
      <c r="V252" s="34">
        <f>-SUMPRODUCT((S$6:S251=S252)*(X$6:X251=X252))</f>
        <v>0</v>
      </c>
      <c r="W252" s="34">
        <f>-SUMPRODUCT((S$6:S251=S252)*(X$6:X251=X252)*(B$6:B251&lt;&gt;"NS"))</f>
        <v>0</v>
      </c>
      <c r="X252" s="35">
        <f t="shared" si="49"/>
        <v>87.087000000000003</v>
      </c>
      <c r="Y252" s="29">
        <v>87</v>
      </c>
      <c r="Z252" s="27"/>
      <c r="AA252" s="27"/>
      <c r="AB252" s="27"/>
      <c r="AC252" s="27"/>
      <c r="AD252" s="27"/>
      <c r="AF252" s="36">
        <v>0</v>
      </c>
      <c r="AG252" s="36">
        <v>0</v>
      </c>
      <c r="AH252" s="36">
        <v>0</v>
      </c>
      <c r="AI252" s="36">
        <v>0</v>
      </c>
      <c r="AJ252" s="37">
        <v>1</v>
      </c>
      <c r="AK252" s="67">
        <v>87.062700000000007</v>
      </c>
      <c r="AL252" s="39">
        <v>87</v>
      </c>
      <c r="AM252" s="32">
        <v>174</v>
      </c>
      <c r="AN252" s="39"/>
      <c r="AO252" s="39"/>
      <c r="AP252" s="39"/>
      <c r="AQ252" s="30"/>
      <c r="AR252" s="26"/>
      <c r="AS252" s="1"/>
    </row>
    <row r="253" spans="1:45" ht="15">
      <c r="A253" s="61">
        <v>26</v>
      </c>
      <c r="B253" s="61">
        <v>25</v>
      </c>
      <c r="C253" s="40">
        <f t="shared" si="42"/>
        <v>26</v>
      </c>
      <c r="D253" s="40">
        <f t="shared" si="42"/>
        <v>25</v>
      </c>
      <c r="E253" s="1" t="s">
        <v>880</v>
      </c>
      <c r="F253" s="29" t="s">
        <v>47</v>
      </c>
      <c r="G253" s="29">
        <v>84</v>
      </c>
      <c r="H253" s="27"/>
      <c r="I253" s="27"/>
      <c r="J253" s="27"/>
      <c r="K253" s="27"/>
      <c r="L253" s="27"/>
      <c r="M253" s="32">
        <f t="shared" si="43"/>
        <v>84</v>
      </c>
      <c r="N253" s="32" t="s">
        <v>1330</v>
      </c>
      <c r="O253" s="32"/>
      <c r="P253" s="42">
        <f t="shared" si="44"/>
        <v>83.975300000000004</v>
      </c>
      <c r="Q253" s="32">
        <f t="shared" si="45"/>
        <v>1</v>
      </c>
      <c r="R253" s="32">
        <f t="shared" ca="1" si="46"/>
        <v>0</v>
      </c>
      <c r="S253" s="33" t="s">
        <v>129</v>
      </c>
      <c r="T253" s="34">
        <f t="shared" si="47"/>
        <v>0</v>
      </c>
      <c r="U253" s="34">
        <f t="shared" ca="1" si="48"/>
        <v>0</v>
      </c>
      <c r="V253" s="34">
        <f>-SUMPRODUCT((S$6:S252=S253)*(X$6:X252=X253))</f>
        <v>0</v>
      </c>
      <c r="W253" s="34">
        <f>-SUMPRODUCT((S$6:S252=S253)*(X$6:X252=X253)*(B$6:B252&lt;&gt;"NS"))</f>
        <v>0</v>
      </c>
      <c r="X253" s="35">
        <f t="shared" si="49"/>
        <v>84.084000000000003</v>
      </c>
      <c r="Y253" s="29">
        <v>84</v>
      </c>
      <c r="Z253" s="27"/>
      <c r="AA253" s="27"/>
      <c r="AB253" s="27"/>
      <c r="AC253" s="27"/>
      <c r="AD253" s="27"/>
      <c r="AF253" s="36">
        <v>0</v>
      </c>
      <c r="AG253" s="36">
        <v>0</v>
      </c>
      <c r="AH253" s="36">
        <v>0</v>
      </c>
      <c r="AI253" s="36">
        <v>0</v>
      </c>
      <c r="AJ253" s="37">
        <v>1</v>
      </c>
      <c r="AK253" s="67">
        <v>84.059600000000003</v>
      </c>
      <c r="AL253" s="39">
        <v>84</v>
      </c>
      <c r="AM253" s="32">
        <v>168</v>
      </c>
      <c r="AN253" s="39"/>
      <c r="AO253" s="39"/>
      <c r="AP253" s="39"/>
      <c r="AQ253" s="30"/>
      <c r="AR253" s="26"/>
      <c r="AS253" s="1"/>
    </row>
    <row r="254" spans="1:45" ht="15">
      <c r="A254" s="61">
        <v>27</v>
      </c>
      <c r="B254" s="61" t="s">
        <v>111</v>
      </c>
      <c r="C254" s="40">
        <f t="shared" si="42"/>
        <v>27</v>
      </c>
      <c r="D254" s="40" t="str">
        <f t="shared" si="42"/>
        <v>NS</v>
      </c>
      <c r="E254" s="1" t="s">
        <v>881</v>
      </c>
      <c r="F254" s="29" t="s">
        <v>201</v>
      </c>
      <c r="G254" s="29"/>
      <c r="H254" s="27">
        <v>75</v>
      </c>
      <c r="I254" s="27"/>
      <c r="J254" s="27"/>
      <c r="K254" s="27"/>
      <c r="L254" s="27"/>
      <c r="M254" s="32">
        <f t="shared" si="43"/>
        <v>75</v>
      </c>
      <c r="N254" s="32" t="s">
        <v>1331</v>
      </c>
      <c r="O254" s="32"/>
      <c r="P254" s="42">
        <f t="shared" si="44"/>
        <v>74.975200000000001</v>
      </c>
      <c r="Q254" s="32">
        <f t="shared" si="45"/>
        <v>1</v>
      </c>
      <c r="R254" s="32">
        <f t="shared" ca="1" si="46"/>
        <v>0</v>
      </c>
      <c r="S254" s="33" t="s">
        <v>129</v>
      </c>
      <c r="T254" s="34">
        <f t="shared" si="47"/>
        <v>0</v>
      </c>
      <c r="U254" s="34">
        <f t="shared" ca="1" si="48"/>
        <v>0</v>
      </c>
      <c r="V254" s="34">
        <f>-SUMPRODUCT((S$6:S253=S254)*(X$6:X253=X254))</f>
        <v>0</v>
      </c>
      <c r="W254" s="34">
        <f>-SUMPRODUCT((S$6:S253=S254)*(X$6:X253=X254)*(B$6:B253&lt;&gt;"NS"))</f>
        <v>0</v>
      </c>
      <c r="X254" s="35">
        <f t="shared" si="49"/>
        <v>75.075000000000003</v>
      </c>
      <c r="Y254" s="27">
        <v>75</v>
      </c>
      <c r="Z254" s="29"/>
      <c r="AA254" s="27"/>
      <c r="AB254" s="27"/>
      <c r="AC254" s="27"/>
      <c r="AD254" s="27"/>
      <c r="AF254" s="36">
        <v>0</v>
      </c>
      <c r="AG254" s="36">
        <v>0</v>
      </c>
      <c r="AH254" s="36">
        <v>0</v>
      </c>
      <c r="AI254" s="36">
        <v>0</v>
      </c>
      <c r="AJ254" s="37">
        <v>1</v>
      </c>
      <c r="AK254" s="67">
        <v>74.98299999999999</v>
      </c>
      <c r="AL254" s="39">
        <v>75</v>
      </c>
      <c r="AM254" s="32">
        <v>0</v>
      </c>
      <c r="AN254" s="39"/>
      <c r="AO254" s="39"/>
      <c r="AP254" s="39"/>
      <c r="AQ254" s="30"/>
      <c r="AR254" s="26"/>
      <c r="AS254" s="1"/>
    </row>
    <row r="255" spans="1:45" ht="15">
      <c r="A255" s="61">
        <v>28</v>
      </c>
      <c r="B255" s="61">
        <v>26</v>
      </c>
      <c r="C255" s="40">
        <f t="shared" si="42"/>
        <v>28</v>
      </c>
      <c r="D255" s="40">
        <f t="shared" si="42"/>
        <v>26</v>
      </c>
      <c r="E255" s="1" t="s">
        <v>882</v>
      </c>
      <c r="F255" s="29" t="s">
        <v>118</v>
      </c>
      <c r="G255" s="29">
        <v>60</v>
      </c>
      <c r="H255" s="27"/>
      <c r="I255" s="27"/>
      <c r="J255" s="27"/>
      <c r="K255" s="27"/>
      <c r="L255" s="27"/>
      <c r="M255" s="32">
        <f t="shared" si="43"/>
        <v>60</v>
      </c>
      <c r="N255" s="32" t="s">
        <v>1330</v>
      </c>
      <c r="O255" s="32"/>
      <c r="P255" s="42">
        <f t="shared" si="44"/>
        <v>59.975099999999998</v>
      </c>
      <c r="Q255" s="32">
        <f t="shared" si="45"/>
        <v>1</v>
      </c>
      <c r="R255" s="32">
        <f t="shared" ca="1" si="46"/>
        <v>0</v>
      </c>
      <c r="S255" s="33" t="s">
        <v>129</v>
      </c>
      <c r="T255" s="34">
        <f t="shared" si="47"/>
        <v>0</v>
      </c>
      <c r="U255" s="34">
        <f t="shared" ca="1" si="48"/>
        <v>0</v>
      </c>
      <c r="V255" s="34">
        <f>-SUMPRODUCT((S$6:S254=S255)*(X$6:X254=X255))</f>
        <v>0</v>
      </c>
      <c r="W255" s="34">
        <f>-SUMPRODUCT((S$6:S254=S255)*(X$6:X254=X255)*(B$6:B254&lt;&gt;"NS"))</f>
        <v>0</v>
      </c>
      <c r="X255" s="35">
        <f t="shared" si="49"/>
        <v>60.06</v>
      </c>
      <c r="Y255" s="29">
        <v>60</v>
      </c>
      <c r="Z255" s="27"/>
      <c r="AA255" s="27"/>
      <c r="AB255" s="27"/>
      <c r="AC255" s="27"/>
      <c r="AD255" s="27"/>
      <c r="AF255" s="36">
        <v>0</v>
      </c>
      <c r="AG255" s="36">
        <v>0</v>
      </c>
      <c r="AH255" s="36">
        <v>0</v>
      </c>
      <c r="AI255" s="36">
        <v>0</v>
      </c>
      <c r="AJ255" s="37">
        <v>1</v>
      </c>
      <c r="AK255" s="67">
        <v>60.035400000000003</v>
      </c>
      <c r="AL255" s="39">
        <v>60</v>
      </c>
      <c r="AM255" s="32">
        <v>120</v>
      </c>
      <c r="AN255" s="39"/>
      <c r="AO255" s="39"/>
      <c r="AP255" s="39"/>
      <c r="AQ255" s="30"/>
      <c r="AR255" s="26"/>
      <c r="AS255" s="1"/>
    </row>
    <row r="256" spans="1:45" ht="15">
      <c r="A256" s="61">
        <v>29</v>
      </c>
      <c r="B256" s="61">
        <v>27</v>
      </c>
      <c r="C256" s="40">
        <f t="shared" si="42"/>
        <v>29</v>
      </c>
      <c r="D256" s="40">
        <f t="shared" si="42"/>
        <v>27</v>
      </c>
      <c r="E256" s="1" t="s">
        <v>883</v>
      </c>
      <c r="F256" s="29" t="s">
        <v>118</v>
      </c>
      <c r="G256" s="29"/>
      <c r="H256" s="27">
        <v>53</v>
      </c>
      <c r="I256" s="27"/>
      <c r="J256" s="27"/>
      <c r="K256" s="27"/>
      <c r="L256" s="27"/>
      <c r="M256" s="32">
        <f t="shared" si="43"/>
        <v>53</v>
      </c>
      <c r="N256" s="32" t="s">
        <v>1330</v>
      </c>
      <c r="O256" s="32"/>
      <c r="P256" s="42">
        <f t="shared" si="44"/>
        <v>52.975000000000001</v>
      </c>
      <c r="Q256" s="32">
        <f t="shared" si="45"/>
        <v>1</v>
      </c>
      <c r="R256" s="32">
        <f t="shared" ca="1" si="46"/>
        <v>0</v>
      </c>
      <c r="S256" s="33" t="s">
        <v>129</v>
      </c>
      <c r="T256" s="34">
        <f t="shared" si="47"/>
        <v>0</v>
      </c>
      <c r="U256" s="34">
        <f t="shared" ca="1" si="48"/>
        <v>0</v>
      </c>
      <c r="V256" s="34">
        <f>-SUMPRODUCT((S$6:S255=S256)*(X$6:X255=X256))</f>
        <v>0</v>
      </c>
      <c r="W256" s="34">
        <f>-SUMPRODUCT((S$6:S255=S256)*(X$6:X255=X256)*(B$6:B255&lt;&gt;"NS"))</f>
        <v>0</v>
      </c>
      <c r="X256" s="35">
        <f t="shared" si="49"/>
        <v>53.052999999999997</v>
      </c>
      <c r="Y256" s="27">
        <v>53</v>
      </c>
      <c r="Z256" s="29"/>
      <c r="AA256" s="27"/>
      <c r="AB256" s="27"/>
      <c r="AC256" s="27"/>
      <c r="AD256" s="27"/>
      <c r="AF256" s="36">
        <v>0</v>
      </c>
      <c r="AG256" s="36">
        <v>0</v>
      </c>
      <c r="AH256" s="36">
        <v>0</v>
      </c>
      <c r="AI256" s="36">
        <v>0</v>
      </c>
      <c r="AJ256" s="37">
        <v>1</v>
      </c>
      <c r="AK256" s="67">
        <v>52.980599999999995</v>
      </c>
      <c r="AL256" s="39">
        <v>53</v>
      </c>
      <c r="AM256" s="32">
        <v>106</v>
      </c>
      <c r="AN256" s="39"/>
      <c r="AO256" s="39"/>
      <c r="AP256" s="39"/>
      <c r="AQ256" s="30"/>
      <c r="AR256" s="26"/>
      <c r="AS256" s="1"/>
    </row>
    <row r="257" spans="1:45" ht="15">
      <c r="A257" s="61">
        <v>30</v>
      </c>
      <c r="B257" s="61">
        <v>28</v>
      </c>
      <c r="C257" s="40">
        <f t="shared" si="42"/>
        <v>30</v>
      </c>
      <c r="D257" s="40">
        <f t="shared" si="42"/>
        <v>28</v>
      </c>
      <c r="E257" s="1" t="s">
        <v>884</v>
      </c>
      <c r="F257" s="29" t="s">
        <v>38</v>
      </c>
      <c r="G257" s="29">
        <v>50</v>
      </c>
      <c r="H257" s="27"/>
      <c r="I257" s="27"/>
      <c r="J257" s="27"/>
      <c r="K257" s="27"/>
      <c r="L257" s="27"/>
      <c r="M257" s="32">
        <f t="shared" si="43"/>
        <v>50</v>
      </c>
      <c r="N257" s="32" t="s">
        <v>1330</v>
      </c>
      <c r="O257" s="32"/>
      <c r="P257" s="42">
        <f t="shared" si="44"/>
        <v>49.974899999999998</v>
      </c>
      <c r="Q257" s="32">
        <f t="shared" si="45"/>
        <v>1</v>
      </c>
      <c r="R257" s="32">
        <f t="shared" ca="1" si="46"/>
        <v>0</v>
      </c>
      <c r="S257" s="33" t="s">
        <v>129</v>
      </c>
      <c r="T257" s="34">
        <f t="shared" si="47"/>
        <v>0</v>
      </c>
      <c r="U257" s="34">
        <f t="shared" ca="1" si="48"/>
        <v>0</v>
      </c>
      <c r="V257" s="34">
        <f>-SUMPRODUCT((S$6:S256=S257)*(X$6:X256=X257))</f>
        <v>0</v>
      </c>
      <c r="W257" s="34">
        <f>-SUMPRODUCT((S$6:S256=S257)*(X$6:X256=X257)*(B$6:B256&lt;&gt;"NS"))</f>
        <v>0</v>
      </c>
      <c r="X257" s="35">
        <f t="shared" si="49"/>
        <v>50.05</v>
      </c>
      <c r="Y257" s="29">
        <v>50</v>
      </c>
      <c r="Z257" s="27"/>
      <c r="AA257" s="27"/>
      <c r="AB257" s="27"/>
      <c r="AC257" s="27"/>
      <c r="AD257" s="27"/>
      <c r="AF257" s="36">
        <v>0</v>
      </c>
      <c r="AG257" s="36">
        <v>0</v>
      </c>
      <c r="AH257" s="36">
        <v>0</v>
      </c>
      <c r="AI257" s="36">
        <v>0</v>
      </c>
      <c r="AJ257" s="37">
        <v>1</v>
      </c>
      <c r="AK257" s="67">
        <v>50.025199999999998</v>
      </c>
      <c r="AL257" s="39">
        <v>50</v>
      </c>
      <c r="AM257" s="32">
        <v>100</v>
      </c>
      <c r="AN257" s="39"/>
      <c r="AO257" s="39"/>
      <c r="AP257" s="39"/>
      <c r="AQ257" s="30"/>
      <c r="AR257" s="26"/>
      <c r="AS257" s="1"/>
    </row>
    <row r="258" spans="1:45" ht="15">
      <c r="A258" s="61">
        <v>31</v>
      </c>
      <c r="B258" s="61">
        <v>29</v>
      </c>
      <c r="C258" s="40">
        <f t="shared" si="42"/>
        <v>31</v>
      </c>
      <c r="D258" s="40">
        <f t="shared" si="42"/>
        <v>29</v>
      </c>
      <c r="E258" s="1" t="s">
        <v>885</v>
      </c>
      <c r="F258" s="29" t="s">
        <v>47</v>
      </c>
      <c r="G258" s="29">
        <v>9</v>
      </c>
      <c r="H258" s="27"/>
      <c r="I258" s="27"/>
      <c r="J258" s="27"/>
      <c r="K258" s="27"/>
      <c r="L258" s="27"/>
      <c r="M258" s="32">
        <f t="shared" si="43"/>
        <v>9</v>
      </c>
      <c r="N258" s="32" t="s">
        <v>1330</v>
      </c>
      <c r="O258" s="32"/>
      <c r="P258" s="42">
        <f t="shared" si="44"/>
        <v>8.9748000000000001</v>
      </c>
      <c r="Q258" s="32">
        <f t="shared" si="45"/>
        <v>1</v>
      </c>
      <c r="R258" s="32">
        <f t="shared" ca="1" si="46"/>
        <v>0</v>
      </c>
      <c r="S258" s="33" t="s">
        <v>129</v>
      </c>
      <c r="T258" s="34">
        <f t="shared" si="47"/>
        <v>0</v>
      </c>
      <c r="U258" s="34">
        <f t="shared" ca="1" si="48"/>
        <v>0</v>
      </c>
      <c r="V258" s="34">
        <f>-SUMPRODUCT((S$6:S257=S258)*(X$6:X257=X258))</f>
        <v>0</v>
      </c>
      <c r="W258" s="34">
        <f>-SUMPRODUCT((S$6:S257=S258)*(X$6:X257=X258)*(B$6:B257&lt;&gt;"NS"))</f>
        <v>0</v>
      </c>
      <c r="X258" s="35">
        <f t="shared" si="49"/>
        <v>9.0090000000000003</v>
      </c>
      <c r="Y258" s="29">
        <v>9</v>
      </c>
      <c r="Z258" s="27"/>
      <c r="AA258" s="27"/>
      <c r="AB258" s="27"/>
      <c r="AC258" s="27"/>
      <c r="AD258" s="27"/>
      <c r="AF258" s="36">
        <v>0</v>
      </c>
      <c r="AG258" s="36">
        <v>0</v>
      </c>
      <c r="AH258" s="36">
        <v>0</v>
      </c>
      <c r="AI258" s="36">
        <v>0</v>
      </c>
      <c r="AJ258" s="37">
        <v>1</v>
      </c>
      <c r="AK258" s="67">
        <v>8.9840999999999998</v>
      </c>
      <c r="AL258" s="39">
        <v>9</v>
      </c>
      <c r="AM258" s="32">
        <v>18</v>
      </c>
      <c r="AN258" s="39"/>
      <c r="AO258" s="39"/>
      <c r="AP258" s="39"/>
      <c r="AQ258" s="30"/>
      <c r="AR258" s="26"/>
      <c r="AS258" s="1"/>
    </row>
    <row r="259" spans="1:45" ht="3" customHeight="1">
      <c r="F259" s="52"/>
      <c r="G259" s="52"/>
      <c r="H259" s="52"/>
      <c r="I259" s="52"/>
      <c r="J259" s="52"/>
      <c r="K259" s="52"/>
      <c r="L259" s="52"/>
      <c r="M259" s="32"/>
      <c r="N259" s="27"/>
      <c r="O259" s="27"/>
      <c r="P259" s="42"/>
      <c r="Q259" s="27"/>
      <c r="R259" s="27"/>
      <c r="T259" s="59"/>
      <c r="U259" s="59"/>
      <c r="V259" s="59"/>
      <c r="W259" s="59"/>
      <c r="X259" s="34"/>
      <c r="Y259" s="52"/>
      <c r="Z259" s="52"/>
      <c r="AA259" s="52"/>
      <c r="AB259" s="52"/>
      <c r="AC259" s="52"/>
      <c r="AD259" s="52"/>
      <c r="AJ259" s="63"/>
      <c r="AK259" s="63"/>
      <c r="AM259" s="26"/>
      <c r="AN259" s="39"/>
      <c r="AO259" s="39"/>
      <c r="AP259" s="39"/>
      <c r="AQ259" s="30"/>
      <c r="AR259" s="26"/>
      <c r="AS259" s="1"/>
    </row>
    <row r="260" spans="1:45">
      <c r="F260" s="27"/>
      <c r="G260" s="27"/>
      <c r="H260" s="27"/>
      <c r="I260" s="27"/>
      <c r="J260" s="27"/>
      <c r="K260" s="27"/>
      <c r="L260" s="27"/>
      <c r="M260" s="32"/>
      <c r="N260" s="27"/>
      <c r="O260" s="27"/>
      <c r="P260" s="42"/>
      <c r="Q260" s="27"/>
      <c r="R260" s="27"/>
      <c r="T260" s="62"/>
      <c r="U260" s="62"/>
      <c r="V260" s="62"/>
      <c r="W260" s="62"/>
      <c r="X260" s="34"/>
      <c r="Y260" s="27"/>
      <c r="Z260" s="27"/>
      <c r="AA260" s="27"/>
      <c r="AB260" s="27"/>
      <c r="AC260" s="27"/>
      <c r="AD260" s="27"/>
      <c r="AJ260" s="63"/>
      <c r="AK260" s="63"/>
      <c r="AM260" s="26"/>
      <c r="AN260" s="39"/>
      <c r="AO260" s="39"/>
      <c r="AP260" s="39"/>
      <c r="AQ260" s="30"/>
      <c r="AR260" s="26"/>
      <c r="AS260" s="1"/>
    </row>
    <row r="261" spans="1:45" ht="15">
      <c r="A261" s="60"/>
      <c r="B261" s="60"/>
      <c r="C261" s="60"/>
      <c r="D261" s="60"/>
      <c r="E261" s="26" t="s">
        <v>217</v>
      </c>
      <c r="F261" s="27"/>
      <c r="G261" s="27"/>
      <c r="H261" s="27"/>
      <c r="I261" s="27"/>
      <c r="J261" s="27"/>
      <c r="K261" s="27"/>
      <c r="L261" s="27"/>
      <c r="M261" s="32"/>
      <c r="N261" s="27"/>
      <c r="O261" s="27"/>
      <c r="P261" s="42"/>
      <c r="Q261" s="27"/>
      <c r="R261" s="27"/>
      <c r="S261" s="52" t="str">
        <f>E261</f>
        <v>F60</v>
      </c>
      <c r="T261" s="59"/>
      <c r="U261" s="59"/>
      <c r="V261" s="59"/>
      <c r="W261" s="59"/>
      <c r="X261" s="34"/>
      <c r="Y261" s="27"/>
      <c r="Z261" s="52"/>
      <c r="AA261" s="52"/>
      <c r="AB261" s="52"/>
      <c r="AC261" s="52"/>
      <c r="AD261" s="52"/>
      <c r="AJ261" s="63"/>
      <c r="AK261" s="63"/>
      <c r="AM261" s="26"/>
      <c r="AN261" s="39">
        <v>568</v>
      </c>
      <c r="AO261" s="39">
        <v>475</v>
      </c>
      <c r="AP261" s="39">
        <v>437</v>
      </c>
      <c r="AQ261" s="30"/>
      <c r="AR261" s="26"/>
      <c r="AS261" s="1"/>
    </row>
    <row r="262" spans="1:45" ht="15">
      <c r="A262" s="61">
        <v>1</v>
      </c>
      <c r="B262" s="61">
        <v>1</v>
      </c>
      <c r="C262" s="40">
        <f t="shared" ref="C262:D295" si="50">IF(OR(V262&lt;0,V263&lt;0),"="&amp;A262+V262&amp;" ",A262)</f>
        <v>1</v>
      </c>
      <c r="D262" s="40">
        <f t="shared" si="50"/>
        <v>1</v>
      </c>
      <c r="E262" s="1" t="s">
        <v>886</v>
      </c>
      <c r="F262" s="29" t="s">
        <v>53</v>
      </c>
      <c r="G262" s="29"/>
      <c r="H262" s="27">
        <v>186</v>
      </c>
      <c r="I262" s="27">
        <v>192</v>
      </c>
      <c r="J262" s="27">
        <v>190</v>
      </c>
      <c r="K262" s="27"/>
      <c r="L262" s="27"/>
      <c r="M262" s="32">
        <f t="shared" ref="M262:M295" si="51">IFERROR(LARGE(G262:L262,1),0)+IF($F$5&gt;=2,IFERROR(LARGE(G262:L262,2),0),0)+IF($F$5&gt;=3,IFERROR(LARGE(G262:L262,3),0),0)+IF($F$5&gt;=4,IFERROR(LARGE(G262:L262,4),0),0)+IF($F$5&gt;=5,IFERROR(LARGE(G262:L262,5),0),0)+IF($F$5&gt;=6,IFERROR(LARGE(G262:L262,6),0),0)</f>
        <v>568</v>
      </c>
      <c r="N262" s="32" t="s">
        <v>1330</v>
      </c>
      <c r="O262" s="32" t="s">
        <v>218</v>
      </c>
      <c r="P262" s="42">
        <f t="shared" ref="P262:P295" si="52">M262-(ROW(M262)-ROW(M$6))/10000</f>
        <v>567.97439999999995</v>
      </c>
      <c r="Q262" s="32">
        <f t="shared" ref="Q262:Q295" si="53">COUNT(G262:L262)</f>
        <v>3</v>
      </c>
      <c r="R262" s="32">
        <f t="shared" ref="R262:R295" ca="1" si="54">IF(AND(Q262=1,OFFSET(F262,0,R$3)&gt;0),"Y",0)</f>
        <v>0</v>
      </c>
      <c r="S262" s="33" t="s">
        <v>217</v>
      </c>
      <c r="T262" s="34">
        <f t="shared" ref="T262:T295" si="55">1-(S262=S261)</f>
        <v>0</v>
      </c>
      <c r="U262" s="34">
        <f t="shared" ref="U262:U295" ca="1" si="56">OFFSET(F262,0,$R$3)</f>
        <v>0</v>
      </c>
      <c r="V262" s="34">
        <f>-SUMPRODUCT((S$6:S261=S262)*(X$6:X261=X262))</f>
        <v>0</v>
      </c>
      <c r="W262" s="34">
        <f>-SUMPRODUCT((S$6:S261=S262)*(X$6:X261=X262)*(B$6:B261&lt;&gt;"NS"))</f>
        <v>0</v>
      </c>
      <c r="X262" s="35">
        <f t="shared" ref="X262:X295" si="57">M262+SUMPRODUCT(Y$4:AD$4,Y262:AD262)</f>
        <v>568.21285999999998</v>
      </c>
      <c r="Y262" s="27">
        <v>192</v>
      </c>
      <c r="Z262" s="27">
        <v>190</v>
      </c>
      <c r="AA262" s="27">
        <v>186</v>
      </c>
      <c r="AB262" s="29"/>
      <c r="AC262" s="27"/>
      <c r="AD262" s="27"/>
      <c r="AF262" s="36">
        <v>0</v>
      </c>
      <c r="AG262" s="36">
        <v>0</v>
      </c>
      <c r="AH262" s="36">
        <v>0</v>
      </c>
      <c r="AI262" s="36">
        <v>0</v>
      </c>
      <c r="AJ262" s="37">
        <v>3</v>
      </c>
      <c r="AK262" s="67">
        <v>567.99540999999999</v>
      </c>
      <c r="AL262" s="39">
        <v>192</v>
      </c>
      <c r="AM262" s="32">
        <v>574</v>
      </c>
      <c r="AN262" s="39" t="s">
        <v>218</v>
      </c>
      <c r="AO262" s="39"/>
      <c r="AP262" s="39"/>
      <c r="AQ262" s="30"/>
      <c r="AR262" s="26"/>
      <c r="AS262" s="1"/>
    </row>
    <row r="263" spans="1:45" ht="15">
      <c r="A263" s="61">
        <v>2</v>
      </c>
      <c r="B263" s="61">
        <v>2</v>
      </c>
      <c r="C263" s="40">
        <f t="shared" si="50"/>
        <v>2</v>
      </c>
      <c r="D263" s="40">
        <f t="shared" si="50"/>
        <v>2</v>
      </c>
      <c r="E263" s="1" t="s">
        <v>216</v>
      </c>
      <c r="F263" s="29" t="s">
        <v>53</v>
      </c>
      <c r="G263" s="29">
        <v>153</v>
      </c>
      <c r="H263" s="27"/>
      <c r="I263" s="27">
        <v>150</v>
      </c>
      <c r="J263" s="27">
        <v>172</v>
      </c>
      <c r="K263" s="27">
        <v>179</v>
      </c>
      <c r="L263" s="27"/>
      <c r="M263" s="32">
        <f t="shared" si="51"/>
        <v>504</v>
      </c>
      <c r="N263" s="32" t="s">
        <v>1330</v>
      </c>
      <c r="O263" s="32" t="s">
        <v>271</v>
      </c>
      <c r="P263" s="42">
        <f t="shared" si="52"/>
        <v>503.97430000000003</v>
      </c>
      <c r="Q263" s="32">
        <f t="shared" si="53"/>
        <v>4</v>
      </c>
      <c r="R263" s="32">
        <f t="shared" ca="1" si="54"/>
        <v>0</v>
      </c>
      <c r="S263" s="33" t="s">
        <v>217</v>
      </c>
      <c r="T263" s="34">
        <f t="shared" si="55"/>
        <v>0</v>
      </c>
      <c r="U263" s="34">
        <f t="shared" ca="1" si="56"/>
        <v>179</v>
      </c>
      <c r="V263" s="34">
        <f>-SUMPRODUCT((S$6:S262=S263)*(X$6:X262=X263))</f>
        <v>0</v>
      </c>
      <c r="W263" s="34">
        <f>-SUMPRODUCT((S$6:S262=S263)*(X$6:X262=X263)*(B$6:B262&lt;&gt;"NS"))</f>
        <v>0</v>
      </c>
      <c r="X263" s="35">
        <f t="shared" si="57"/>
        <v>504.19772999999998</v>
      </c>
      <c r="Y263" s="27">
        <v>179</v>
      </c>
      <c r="Z263" s="27">
        <v>172</v>
      </c>
      <c r="AA263" s="29">
        <v>153</v>
      </c>
      <c r="AB263" s="27">
        <v>150</v>
      </c>
      <c r="AC263" s="27"/>
      <c r="AD263" s="27"/>
      <c r="AF263" s="36">
        <v>0</v>
      </c>
      <c r="AG263" s="36">
        <v>0</v>
      </c>
      <c r="AH263" s="36">
        <v>0</v>
      </c>
      <c r="AI263" s="36">
        <v>0</v>
      </c>
      <c r="AJ263" s="37">
        <v>3</v>
      </c>
      <c r="AK263" s="67">
        <v>475.12947000000003</v>
      </c>
      <c r="AL263" s="39">
        <v>172</v>
      </c>
      <c r="AM263" s="32">
        <v>497</v>
      </c>
      <c r="AN263" s="39"/>
      <c r="AO263" s="39" t="s">
        <v>271</v>
      </c>
      <c r="AP263" s="39"/>
      <c r="AQ263" s="30"/>
      <c r="AR263" s="26"/>
      <c r="AS263" s="1"/>
    </row>
    <row r="264" spans="1:45" ht="15">
      <c r="A264" s="61">
        <v>3</v>
      </c>
      <c r="B264" s="61">
        <v>3</v>
      </c>
      <c r="C264" s="40">
        <f t="shared" si="50"/>
        <v>3</v>
      </c>
      <c r="D264" s="40">
        <f t="shared" si="50"/>
        <v>3</v>
      </c>
      <c r="E264" s="1" t="s">
        <v>257</v>
      </c>
      <c r="F264" s="29" t="s">
        <v>252</v>
      </c>
      <c r="G264" s="29">
        <v>126</v>
      </c>
      <c r="H264" s="27">
        <v>133</v>
      </c>
      <c r="I264" s="27">
        <v>152</v>
      </c>
      <c r="J264" s="27">
        <v>152</v>
      </c>
      <c r="K264" s="27">
        <v>162</v>
      </c>
      <c r="L264" s="27"/>
      <c r="M264" s="32">
        <f t="shared" si="51"/>
        <v>466</v>
      </c>
      <c r="N264" s="32" t="s">
        <v>1330</v>
      </c>
      <c r="O264" s="32" t="s">
        <v>887</v>
      </c>
      <c r="P264" s="42">
        <f t="shared" si="52"/>
        <v>465.9742</v>
      </c>
      <c r="Q264" s="32">
        <f t="shared" si="53"/>
        <v>5</v>
      </c>
      <c r="R264" s="32">
        <f t="shared" ca="1" si="54"/>
        <v>0</v>
      </c>
      <c r="S264" s="33" t="s">
        <v>217</v>
      </c>
      <c r="T264" s="34">
        <f t="shared" si="55"/>
        <v>0</v>
      </c>
      <c r="U264" s="34">
        <f t="shared" ca="1" si="56"/>
        <v>162</v>
      </c>
      <c r="V264" s="34">
        <f>-SUMPRODUCT((S$6:S263=S264)*(X$6:X263=X264))</f>
        <v>0</v>
      </c>
      <c r="W264" s="34">
        <f>-SUMPRODUCT((S$6:S263=S264)*(X$6:X263=X264)*(B$6:B263&lt;&gt;"NS"))</f>
        <v>0</v>
      </c>
      <c r="X264" s="35">
        <f t="shared" si="57"/>
        <v>466.17872</v>
      </c>
      <c r="Y264" s="27">
        <v>162</v>
      </c>
      <c r="Z264" s="27">
        <v>152</v>
      </c>
      <c r="AA264" s="27">
        <v>152</v>
      </c>
      <c r="AB264" s="27">
        <v>133</v>
      </c>
      <c r="AC264" s="29">
        <v>126</v>
      </c>
      <c r="AD264" s="27"/>
      <c r="AF264" s="36">
        <v>0</v>
      </c>
      <c r="AG264" s="36">
        <v>0</v>
      </c>
      <c r="AH264" s="36">
        <v>0</v>
      </c>
      <c r="AI264" s="36">
        <v>0</v>
      </c>
      <c r="AJ264" s="37">
        <v>4</v>
      </c>
      <c r="AK264" s="67">
        <v>437.11547200000001</v>
      </c>
      <c r="AL264" s="39">
        <v>152</v>
      </c>
      <c r="AM264" s="32">
        <v>456</v>
      </c>
      <c r="AN264" s="39"/>
      <c r="AO264" s="39"/>
      <c r="AP264" s="39" t="s">
        <v>887</v>
      </c>
      <c r="AQ264" s="30"/>
      <c r="AR264" s="26"/>
      <c r="AS264" s="1"/>
    </row>
    <row r="265" spans="1:45" ht="15">
      <c r="A265" s="61">
        <v>4</v>
      </c>
      <c r="B265" s="61">
        <v>4</v>
      </c>
      <c r="C265" s="40">
        <f t="shared" si="50"/>
        <v>4</v>
      </c>
      <c r="D265" s="40">
        <f t="shared" si="50"/>
        <v>4</v>
      </c>
      <c r="E265" s="1" t="s">
        <v>236</v>
      </c>
      <c r="F265" s="29" t="s">
        <v>47</v>
      </c>
      <c r="G265" s="29"/>
      <c r="H265" s="27">
        <v>142</v>
      </c>
      <c r="I265" s="27">
        <v>134</v>
      </c>
      <c r="J265" s="27"/>
      <c r="K265" s="27">
        <v>170</v>
      </c>
      <c r="L265" s="27"/>
      <c r="M265" s="32">
        <f t="shared" si="51"/>
        <v>446</v>
      </c>
      <c r="N265" s="32" t="s">
        <v>1330</v>
      </c>
      <c r="O265" s="32"/>
      <c r="P265" s="42">
        <f t="shared" si="52"/>
        <v>445.97410000000002</v>
      </c>
      <c r="Q265" s="32">
        <f t="shared" si="53"/>
        <v>3</v>
      </c>
      <c r="R265" s="32">
        <f t="shared" ca="1" si="54"/>
        <v>0</v>
      </c>
      <c r="S265" s="33" t="s">
        <v>217</v>
      </c>
      <c r="T265" s="34">
        <f t="shared" si="55"/>
        <v>0</v>
      </c>
      <c r="U265" s="34">
        <f t="shared" ca="1" si="56"/>
        <v>170</v>
      </c>
      <c r="V265" s="34">
        <f>-SUMPRODUCT((S$6:S264=S265)*(X$6:X264=X265))</f>
        <v>0</v>
      </c>
      <c r="W265" s="34">
        <f>-SUMPRODUCT((S$6:S264=S265)*(X$6:X264=X265)*(B$6:B264&lt;&gt;"NS"))</f>
        <v>0</v>
      </c>
      <c r="X265" s="35">
        <f t="shared" si="57"/>
        <v>446.18554</v>
      </c>
      <c r="Y265" s="27">
        <v>170</v>
      </c>
      <c r="Z265" s="27">
        <v>142</v>
      </c>
      <c r="AA265" s="27">
        <v>134</v>
      </c>
      <c r="AB265" s="29"/>
      <c r="AC265" s="27"/>
      <c r="AD265" s="27"/>
      <c r="AF265" s="36">
        <v>0</v>
      </c>
      <c r="AG265" s="36">
        <v>0</v>
      </c>
      <c r="AH265" s="36">
        <v>0</v>
      </c>
      <c r="AI265" s="36">
        <v>0</v>
      </c>
      <c r="AJ265" s="37">
        <v>2</v>
      </c>
      <c r="AK265" s="67">
        <v>275.98934000000003</v>
      </c>
      <c r="AL265" s="39">
        <v>142</v>
      </c>
      <c r="AM265" s="32">
        <v>418</v>
      </c>
      <c r="AN265" s="39"/>
      <c r="AO265" s="39"/>
      <c r="AP265" s="39"/>
      <c r="AQ265" s="30"/>
      <c r="AR265" s="26"/>
      <c r="AS265" s="1"/>
    </row>
    <row r="266" spans="1:45" ht="15">
      <c r="A266" s="61">
        <v>5</v>
      </c>
      <c r="B266" s="61">
        <v>5</v>
      </c>
      <c r="C266" s="40">
        <f t="shared" si="50"/>
        <v>5</v>
      </c>
      <c r="D266" s="40">
        <f t="shared" si="50"/>
        <v>5</v>
      </c>
      <c r="E266" s="1" t="s">
        <v>888</v>
      </c>
      <c r="F266" s="29" t="s">
        <v>53</v>
      </c>
      <c r="G266" s="29">
        <v>128</v>
      </c>
      <c r="H266" s="27"/>
      <c r="I266" s="27">
        <v>146</v>
      </c>
      <c r="J266" s="27">
        <v>151</v>
      </c>
      <c r="K266" s="27"/>
      <c r="L266" s="27"/>
      <c r="M266" s="32">
        <f t="shared" si="51"/>
        <v>425</v>
      </c>
      <c r="N266" s="32" t="s">
        <v>1330</v>
      </c>
      <c r="O266" s="32"/>
      <c r="P266" s="42">
        <f t="shared" si="52"/>
        <v>424.97399999999999</v>
      </c>
      <c r="Q266" s="32">
        <f t="shared" si="53"/>
        <v>3</v>
      </c>
      <c r="R266" s="32">
        <f t="shared" ca="1" si="54"/>
        <v>0</v>
      </c>
      <c r="S266" s="33" t="s">
        <v>217</v>
      </c>
      <c r="T266" s="34">
        <f t="shared" si="55"/>
        <v>0</v>
      </c>
      <c r="U266" s="34">
        <f t="shared" ca="1" si="56"/>
        <v>0</v>
      </c>
      <c r="V266" s="34">
        <f>-SUMPRODUCT((S$6:S265=S266)*(X$6:X265=X266))</f>
        <v>0</v>
      </c>
      <c r="W266" s="34">
        <f>-SUMPRODUCT((S$6:S265=S266)*(X$6:X265=X266)*(B$6:B265&lt;&gt;"NS"))</f>
        <v>0</v>
      </c>
      <c r="X266" s="35">
        <f t="shared" si="57"/>
        <v>425.16687999999999</v>
      </c>
      <c r="Y266" s="27">
        <v>151</v>
      </c>
      <c r="Z266" s="27">
        <v>146</v>
      </c>
      <c r="AA266" s="29">
        <v>128</v>
      </c>
      <c r="AB266" s="27"/>
      <c r="AC266" s="27"/>
      <c r="AD266" s="27"/>
      <c r="AF266" s="36">
        <v>0</v>
      </c>
      <c r="AG266" s="36">
        <v>0</v>
      </c>
      <c r="AH266" s="36">
        <v>0</v>
      </c>
      <c r="AI266" s="36">
        <v>0</v>
      </c>
      <c r="AJ266" s="37">
        <v>3</v>
      </c>
      <c r="AK266" s="67">
        <v>425.10405599999996</v>
      </c>
      <c r="AL266" s="39">
        <v>151</v>
      </c>
      <c r="AM266" s="32">
        <v>448</v>
      </c>
      <c r="AN266" s="39"/>
      <c r="AO266" s="39"/>
      <c r="AP266" s="39" t="s">
        <v>887</v>
      </c>
      <c r="AQ266" s="30"/>
      <c r="AR266" s="26"/>
      <c r="AS266" s="1"/>
    </row>
    <row r="267" spans="1:45" ht="15">
      <c r="A267" s="61">
        <v>6</v>
      </c>
      <c r="B267" s="61">
        <v>6</v>
      </c>
      <c r="C267" s="40">
        <f t="shared" si="50"/>
        <v>6</v>
      </c>
      <c r="D267" s="40">
        <f t="shared" si="50"/>
        <v>6</v>
      </c>
      <c r="E267" s="1" t="s">
        <v>270</v>
      </c>
      <c r="F267" s="29" t="s">
        <v>47</v>
      </c>
      <c r="G267" s="29">
        <v>93</v>
      </c>
      <c r="H267" s="27">
        <v>126</v>
      </c>
      <c r="I267" s="27">
        <v>109</v>
      </c>
      <c r="J267" s="27">
        <v>105</v>
      </c>
      <c r="K267" s="27">
        <v>160</v>
      </c>
      <c r="L267" s="27"/>
      <c r="M267" s="32">
        <f t="shared" si="51"/>
        <v>395</v>
      </c>
      <c r="N267" s="32" t="s">
        <v>1330</v>
      </c>
      <c r="O267" s="32"/>
      <c r="P267" s="42">
        <f t="shared" si="52"/>
        <v>394.97390000000001</v>
      </c>
      <c r="Q267" s="32">
        <f t="shared" si="53"/>
        <v>5</v>
      </c>
      <c r="R267" s="32">
        <f t="shared" ca="1" si="54"/>
        <v>0</v>
      </c>
      <c r="S267" s="33" t="s">
        <v>217</v>
      </c>
      <c r="T267" s="34">
        <f t="shared" si="55"/>
        <v>0</v>
      </c>
      <c r="U267" s="34">
        <f t="shared" ca="1" si="56"/>
        <v>160</v>
      </c>
      <c r="V267" s="34">
        <f>-SUMPRODUCT((S$6:S266=S267)*(X$6:X266=X267))</f>
        <v>0</v>
      </c>
      <c r="W267" s="34">
        <f>-SUMPRODUCT((S$6:S266=S267)*(X$6:X266=X267)*(B$6:B266&lt;&gt;"NS"))</f>
        <v>0</v>
      </c>
      <c r="X267" s="35">
        <f t="shared" si="57"/>
        <v>395.17369000000002</v>
      </c>
      <c r="Y267" s="27">
        <v>160</v>
      </c>
      <c r="Z267" s="27">
        <v>126</v>
      </c>
      <c r="AA267" s="27">
        <v>109</v>
      </c>
      <c r="AB267" s="27">
        <v>105</v>
      </c>
      <c r="AC267" s="29">
        <v>93</v>
      </c>
      <c r="AD267" s="27"/>
      <c r="AF267" s="36">
        <v>0</v>
      </c>
      <c r="AG267" s="36">
        <v>0</v>
      </c>
      <c r="AH267" s="36">
        <v>0</v>
      </c>
      <c r="AI267" s="36">
        <v>0</v>
      </c>
      <c r="AJ267" s="37">
        <v>4</v>
      </c>
      <c r="AK267" s="67">
        <v>340.08099500000003</v>
      </c>
      <c r="AL267" s="39">
        <v>126</v>
      </c>
      <c r="AM267" s="32">
        <v>361</v>
      </c>
      <c r="AN267" s="39"/>
      <c r="AO267" s="39"/>
      <c r="AP267" s="39"/>
      <c r="AQ267" s="30"/>
      <c r="AR267" s="26"/>
      <c r="AS267" s="1"/>
    </row>
    <row r="268" spans="1:45" ht="15">
      <c r="A268" s="61">
        <v>7</v>
      </c>
      <c r="B268" s="61">
        <v>7</v>
      </c>
      <c r="C268" s="40">
        <f t="shared" si="50"/>
        <v>7</v>
      </c>
      <c r="D268" s="40">
        <f t="shared" si="50"/>
        <v>7</v>
      </c>
      <c r="E268" s="1" t="s">
        <v>314</v>
      </c>
      <c r="F268" s="29" t="s">
        <v>38</v>
      </c>
      <c r="G268" s="29">
        <v>73</v>
      </c>
      <c r="H268" s="27">
        <v>83</v>
      </c>
      <c r="I268" s="27">
        <v>104</v>
      </c>
      <c r="J268" s="27">
        <v>124</v>
      </c>
      <c r="K268" s="27">
        <v>142</v>
      </c>
      <c r="L268" s="27"/>
      <c r="M268" s="32">
        <f t="shared" si="51"/>
        <v>370</v>
      </c>
      <c r="N268" s="32" t="s">
        <v>1330</v>
      </c>
      <c r="O268" s="32"/>
      <c r="P268" s="42">
        <f t="shared" si="52"/>
        <v>369.97379999999998</v>
      </c>
      <c r="Q268" s="32">
        <f t="shared" si="53"/>
        <v>5</v>
      </c>
      <c r="R268" s="32">
        <f t="shared" ca="1" si="54"/>
        <v>0</v>
      </c>
      <c r="S268" s="33" t="s">
        <v>217</v>
      </c>
      <c r="T268" s="34">
        <f t="shared" si="55"/>
        <v>0</v>
      </c>
      <c r="U268" s="34">
        <f t="shared" ca="1" si="56"/>
        <v>142</v>
      </c>
      <c r="V268" s="34">
        <f>-SUMPRODUCT((S$6:S267=S268)*(X$6:X267=X268))</f>
        <v>0</v>
      </c>
      <c r="W268" s="34">
        <f>-SUMPRODUCT((S$6:S267=S268)*(X$6:X267=X268)*(B$6:B267&lt;&gt;"NS"))</f>
        <v>0</v>
      </c>
      <c r="X268" s="35">
        <f t="shared" si="57"/>
        <v>370.15544</v>
      </c>
      <c r="Y268" s="27">
        <v>142</v>
      </c>
      <c r="Z268" s="27">
        <v>124</v>
      </c>
      <c r="AA268" s="27">
        <v>104</v>
      </c>
      <c r="AB268" s="27">
        <v>83</v>
      </c>
      <c r="AC268" s="29">
        <v>73</v>
      </c>
      <c r="AD268" s="27"/>
      <c r="AF268" s="36">
        <v>0</v>
      </c>
      <c r="AG268" s="36">
        <v>0</v>
      </c>
      <c r="AH268" s="36">
        <v>0</v>
      </c>
      <c r="AI268" s="36">
        <v>0</v>
      </c>
      <c r="AJ268" s="37">
        <v>4</v>
      </c>
      <c r="AK268" s="67">
        <v>311.05664400000001</v>
      </c>
      <c r="AL268" s="39">
        <v>124</v>
      </c>
      <c r="AM268" s="32">
        <v>352</v>
      </c>
      <c r="AN268" s="39"/>
      <c r="AO268" s="39"/>
      <c r="AP268" s="39"/>
      <c r="AQ268" s="30"/>
      <c r="AR268" s="26"/>
      <c r="AS268" s="1"/>
    </row>
    <row r="269" spans="1:45" ht="15">
      <c r="A269" s="61">
        <v>8</v>
      </c>
      <c r="B269" s="61">
        <v>8</v>
      </c>
      <c r="C269" s="40">
        <f t="shared" si="50"/>
        <v>8</v>
      </c>
      <c r="D269" s="40">
        <f t="shared" si="50"/>
        <v>8</v>
      </c>
      <c r="E269" s="1" t="s">
        <v>310</v>
      </c>
      <c r="F269" s="29" t="s">
        <v>47</v>
      </c>
      <c r="G269" s="29">
        <v>59</v>
      </c>
      <c r="H269" s="27"/>
      <c r="I269" s="27">
        <v>98</v>
      </c>
      <c r="J269" s="27">
        <v>117</v>
      </c>
      <c r="K269" s="27">
        <v>144</v>
      </c>
      <c r="L269" s="27"/>
      <c r="M269" s="32">
        <f t="shared" si="51"/>
        <v>359</v>
      </c>
      <c r="N269" s="32" t="s">
        <v>1330</v>
      </c>
      <c r="O269" s="32"/>
      <c r="P269" s="42">
        <f t="shared" si="52"/>
        <v>358.97370000000001</v>
      </c>
      <c r="Q269" s="32">
        <f t="shared" si="53"/>
        <v>4</v>
      </c>
      <c r="R269" s="32">
        <f t="shared" ca="1" si="54"/>
        <v>0</v>
      </c>
      <c r="S269" s="33" t="s">
        <v>217</v>
      </c>
      <c r="T269" s="34">
        <f t="shared" si="55"/>
        <v>0</v>
      </c>
      <c r="U269" s="34">
        <f t="shared" ca="1" si="56"/>
        <v>144</v>
      </c>
      <c r="V269" s="34">
        <f>-SUMPRODUCT((S$6:S268=S269)*(X$6:X268=X269))</f>
        <v>0</v>
      </c>
      <c r="W269" s="34">
        <f>-SUMPRODUCT((S$6:S268=S269)*(X$6:X268=X269)*(B$6:B268&lt;&gt;"NS"))</f>
        <v>0</v>
      </c>
      <c r="X269" s="35">
        <f t="shared" si="57"/>
        <v>359.15667999999999</v>
      </c>
      <c r="Y269" s="27">
        <v>144</v>
      </c>
      <c r="Z269" s="27">
        <v>117</v>
      </c>
      <c r="AA269" s="27">
        <v>98</v>
      </c>
      <c r="AB269" s="29">
        <v>59</v>
      </c>
      <c r="AC269" s="27"/>
      <c r="AD269" s="27"/>
      <c r="AF269" s="36">
        <v>0</v>
      </c>
      <c r="AG269" s="36">
        <v>0</v>
      </c>
      <c r="AH269" s="36">
        <v>0</v>
      </c>
      <c r="AI269" s="36">
        <v>0</v>
      </c>
      <c r="AJ269" s="37">
        <v>3</v>
      </c>
      <c r="AK269" s="67">
        <v>274.03396800000002</v>
      </c>
      <c r="AL269" s="39">
        <v>117</v>
      </c>
      <c r="AM269" s="32">
        <v>332</v>
      </c>
      <c r="AN269" s="39"/>
      <c r="AO269" s="39"/>
      <c r="AP269" s="39"/>
      <c r="AQ269" s="30"/>
      <c r="AR269" s="26"/>
      <c r="AS269" s="1"/>
    </row>
    <row r="270" spans="1:45" ht="15">
      <c r="A270" s="61">
        <v>9</v>
      </c>
      <c r="B270" s="61" t="s">
        <v>111</v>
      </c>
      <c r="C270" s="40">
        <f t="shared" si="50"/>
        <v>9</v>
      </c>
      <c r="D270" s="40" t="str">
        <f t="shared" si="50"/>
        <v>NS</v>
      </c>
      <c r="E270" s="1" t="s">
        <v>320</v>
      </c>
      <c r="F270" s="29" t="s">
        <v>201</v>
      </c>
      <c r="G270" s="29">
        <v>58</v>
      </c>
      <c r="H270" s="27">
        <v>94</v>
      </c>
      <c r="I270" s="27"/>
      <c r="J270" s="27">
        <v>121</v>
      </c>
      <c r="K270" s="27">
        <v>137</v>
      </c>
      <c r="L270" s="27"/>
      <c r="M270" s="32">
        <f t="shared" si="51"/>
        <v>352</v>
      </c>
      <c r="N270" s="32" t="s">
        <v>1331</v>
      </c>
      <c r="O270" s="32"/>
      <c r="P270" s="42">
        <f t="shared" si="52"/>
        <v>351.97359999999998</v>
      </c>
      <c r="Q270" s="32">
        <f t="shared" si="53"/>
        <v>4</v>
      </c>
      <c r="R270" s="32">
        <f t="shared" ca="1" si="54"/>
        <v>0</v>
      </c>
      <c r="S270" s="33" t="s">
        <v>217</v>
      </c>
      <c r="T270" s="34">
        <f t="shared" si="55"/>
        <v>0</v>
      </c>
      <c r="U270" s="34">
        <f t="shared" ca="1" si="56"/>
        <v>137</v>
      </c>
      <c r="V270" s="34">
        <f>-SUMPRODUCT((S$6:S269=S270)*(X$6:X269=X270))</f>
        <v>0</v>
      </c>
      <c r="W270" s="34">
        <f>-SUMPRODUCT((S$6:S269=S270)*(X$6:X269=X270)*(B$6:B269&lt;&gt;"NS"))</f>
        <v>0</v>
      </c>
      <c r="X270" s="35">
        <f t="shared" si="57"/>
        <v>352.15003999999999</v>
      </c>
      <c r="Y270" s="27">
        <v>137</v>
      </c>
      <c r="Z270" s="27">
        <v>121</v>
      </c>
      <c r="AA270" s="27">
        <v>94</v>
      </c>
      <c r="AB270" s="29">
        <v>58</v>
      </c>
      <c r="AC270" s="27"/>
      <c r="AD270" s="27"/>
      <c r="AF270" s="36">
        <v>0</v>
      </c>
      <c r="AG270" s="36">
        <v>0</v>
      </c>
      <c r="AH270" s="36">
        <v>0</v>
      </c>
      <c r="AI270" s="36">
        <v>0</v>
      </c>
      <c r="AJ270" s="37">
        <v>3</v>
      </c>
      <c r="AK270" s="67">
        <v>273.04221000000001</v>
      </c>
      <c r="AL270" s="39">
        <v>121</v>
      </c>
      <c r="AM270" s="32">
        <v>0</v>
      </c>
      <c r="AN270" s="39"/>
      <c r="AO270" s="39"/>
      <c r="AP270" s="39"/>
      <c r="AQ270" s="30"/>
      <c r="AR270" s="26"/>
      <c r="AS270" s="1"/>
    </row>
    <row r="271" spans="1:45" ht="15">
      <c r="A271" s="61">
        <v>10</v>
      </c>
      <c r="B271" s="61">
        <v>9</v>
      </c>
      <c r="C271" s="40">
        <f t="shared" si="50"/>
        <v>10</v>
      </c>
      <c r="D271" s="40">
        <f t="shared" si="50"/>
        <v>9</v>
      </c>
      <c r="E271" s="1" t="s">
        <v>889</v>
      </c>
      <c r="F271" s="29" t="s">
        <v>69</v>
      </c>
      <c r="G271" s="29"/>
      <c r="H271" s="27">
        <v>110</v>
      </c>
      <c r="I271" s="27">
        <v>115</v>
      </c>
      <c r="J271" s="27">
        <v>127</v>
      </c>
      <c r="K271" s="27"/>
      <c r="L271" s="27"/>
      <c r="M271" s="32">
        <f t="shared" si="51"/>
        <v>352</v>
      </c>
      <c r="N271" s="32" t="s">
        <v>1330</v>
      </c>
      <c r="O271" s="32"/>
      <c r="P271" s="42">
        <f t="shared" si="52"/>
        <v>351.9735</v>
      </c>
      <c r="Q271" s="32">
        <f t="shared" si="53"/>
        <v>3</v>
      </c>
      <c r="R271" s="32">
        <f t="shared" ca="1" si="54"/>
        <v>0</v>
      </c>
      <c r="S271" s="33" t="s">
        <v>217</v>
      </c>
      <c r="T271" s="34">
        <f t="shared" si="55"/>
        <v>0</v>
      </c>
      <c r="U271" s="34">
        <f t="shared" ca="1" si="56"/>
        <v>0</v>
      </c>
      <c r="V271" s="34">
        <f>-SUMPRODUCT((S$6:S270=S271)*(X$6:X270=X271))</f>
        <v>0</v>
      </c>
      <c r="W271" s="34">
        <f>-SUMPRODUCT((S$6:S270=S271)*(X$6:X270=X271)*(B$6:B270&lt;&gt;"NS"))</f>
        <v>0</v>
      </c>
      <c r="X271" s="35">
        <f t="shared" si="57"/>
        <v>352.13959999999997</v>
      </c>
      <c r="Y271" s="27">
        <v>127</v>
      </c>
      <c r="Z271" s="27">
        <v>115</v>
      </c>
      <c r="AA271" s="27">
        <v>110</v>
      </c>
      <c r="AB271" s="29"/>
      <c r="AC271" s="27"/>
      <c r="AD271" s="27"/>
      <c r="AF271" s="36">
        <v>0</v>
      </c>
      <c r="AG271" s="36">
        <v>0</v>
      </c>
      <c r="AH271" s="36">
        <v>0</v>
      </c>
      <c r="AI271" s="36">
        <v>0</v>
      </c>
      <c r="AJ271" s="37">
        <v>3</v>
      </c>
      <c r="AK271" s="67">
        <v>351.98668500000002</v>
      </c>
      <c r="AL271" s="39">
        <v>127</v>
      </c>
      <c r="AM271" s="32">
        <v>369</v>
      </c>
      <c r="AN271" s="39"/>
      <c r="AO271" s="39"/>
      <c r="AP271" s="39"/>
      <c r="AQ271" s="30"/>
      <c r="AR271" s="26"/>
      <c r="AS271" s="1"/>
    </row>
    <row r="272" spans="1:45" ht="15">
      <c r="A272" s="61">
        <v>11</v>
      </c>
      <c r="B272" s="61">
        <v>10</v>
      </c>
      <c r="C272" s="40">
        <f t="shared" si="50"/>
        <v>11</v>
      </c>
      <c r="D272" s="40">
        <f t="shared" si="50"/>
        <v>10</v>
      </c>
      <c r="E272" s="1" t="s">
        <v>890</v>
      </c>
      <c r="F272" s="29" t="s">
        <v>47</v>
      </c>
      <c r="G272" s="29">
        <v>63</v>
      </c>
      <c r="H272" s="27">
        <v>105</v>
      </c>
      <c r="I272" s="27">
        <v>94</v>
      </c>
      <c r="J272" s="27">
        <v>119</v>
      </c>
      <c r="K272" s="27"/>
      <c r="L272" s="27"/>
      <c r="M272" s="32">
        <f t="shared" si="51"/>
        <v>318</v>
      </c>
      <c r="N272" s="32" t="s">
        <v>1330</v>
      </c>
      <c r="O272" s="32"/>
      <c r="P272" s="42">
        <f t="shared" si="52"/>
        <v>317.97340000000003</v>
      </c>
      <c r="Q272" s="32">
        <f t="shared" si="53"/>
        <v>4</v>
      </c>
      <c r="R272" s="32">
        <f t="shared" ca="1" si="54"/>
        <v>0</v>
      </c>
      <c r="S272" s="33" t="s">
        <v>217</v>
      </c>
      <c r="T272" s="34">
        <f t="shared" si="55"/>
        <v>0</v>
      </c>
      <c r="U272" s="34">
        <f t="shared" ca="1" si="56"/>
        <v>0</v>
      </c>
      <c r="V272" s="34">
        <f>-SUMPRODUCT((S$6:S271=S272)*(X$6:X271=X272))</f>
        <v>0</v>
      </c>
      <c r="W272" s="34">
        <f>-SUMPRODUCT((S$6:S271=S272)*(X$6:X271=X272)*(B$6:B271&lt;&gt;"NS"))</f>
        <v>0</v>
      </c>
      <c r="X272" s="35">
        <f t="shared" si="57"/>
        <v>318.13044000000002</v>
      </c>
      <c r="Y272" s="27">
        <v>119</v>
      </c>
      <c r="Z272" s="27">
        <v>105</v>
      </c>
      <c r="AA272" s="27">
        <v>94</v>
      </c>
      <c r="AB272" s="29">
        <v>63</v>
      </c>
      <c r="AC272" s="27"/>
      <c r="AD272" s="27"/>
      <c r="AF272" s="36">
        <v>0</v>
      </c>
      <c r="AG272" s="36">
        <v>0</v>
      </c>
      <c r="AH272" s="36">
        <v>0</v>
      </c>
      <c r="AI272" s="36">
        <v>0</v>
      </c>
      <c r="AJ272" s="37">
        <v>4</v>
      </c>
      <c r="AK272" s="67">
        <v>318.04888399999999</v>
      </c>
      <c r="AL272" s="39">
        <v>119</v>
      </c>
      <c r="AM272" s="32">
        <v>343</v>
      </c>
      <c r="AN272" s="39"/>
      <c r="AO272" s="39"/>
      <c r="AP272" s="39"/>
      <c r="AQ272" s="30"/>
      <c r="AR272" s="26"/>
      <c r="AS272" s="1"/>
    </row>
    <row r="273" spans="1:45" ht="15">
      <c r="A273" s="61">
        <v>12</v>
      </c>
      <c r="B273" s="61">
        <v>11</v>
      </c>
      <c r="C273" s="40">
        <f t="shared" si="50"/>
        <v>12</v>
      </c>
      <c r="D273" s="40">
        <f t="shared" si="50"/>
        <v>11</v>
      </c>
      <c r="E273" s="1" t="s">
        <v>315</v>
      </c>
      <c r="F273" s="29" t="s">
        <v>47</v>
      </c>
      <c r="G273" s="29"/>
      <c r="H273" s="27">
        <v>80</v>
      </c>
      <c r="I273" s="27">
        <v>74</v>
      </c>
      <c r="J273" s="27">
        <v>91</v>
      </c>
      <c r="K273" s="27">
        <v>141</v>
      </c>
      <c r="L273" s="27"/>
      <c r="M273" s="32">
        <f t="shared" si="51"/>
        <v>312</v>
      </c>
      <c r="N273" s="32" t="s">
        <v>1330</v>
      </c>
      <c r="O273" s="32"/>
      <c r="P273" s="42">
        <f t="shared" si="52"/>
        <v>311.97329999999999</v>
      </c>
      <c r="Q273" s="32">
        <f t="shared" si="53"/>
        <v>4</v>
      </c>
      <c r="R273" s="32">
        <f t="shared" ca="1" si="54"/>
        <v>0</v>
      </c>
      <c r="S273" s="33" t="s">
        <v>217</v>
      </c>
      <c r="T273" s="34">
        <f t="shared" si="55"/>
        <v>0</v>
      </c>
      <c r="U273" s="34">
        <f t="shared" ca="1" si="56"/>
        <v>141</v>
      </c>
      <c r="V273" s="34">
        <f>-SUMPRODUCT((S$6:S272=S273)*(X$6:X272=X273))</f>
        <v>0</v>
      </c>
      <c r="W273" s="34">
        <f>-SUMPRODUCT((S$6:S272=S273)*(X$6:X272=X273)*(B$6:B272&lt;&gt;"NS"))</f>
        <v>0</v>
      </c>
      <c r="X273" s="35">
        <f t="shared" si="57"/>
        <v>312.15089999999998</v>
      </c>
      <c r="Y273" s="27">
        <v>141</v>
      </c>
      <c r="Z273" s="27">
        <v>91</v>
      </c>
      <c r="AA273" s="27">
        <v>80</v>
      </c>
      <c r="AB273" s="27">
        <v>74</v>
      </c>
      <c r="AC273" s="29"/>
      <c r="AD273" s="27"/>
      <c r="AF273" s="36">
        <v>0</v>
      </c>
      <c r="AG273" s="36">
        <v>0</v>
      </c>
      <c r="AH273" s="36">
        <v>0</v>
      </c>
      <c r="AI273" s="36">
        <v>0</v>
      </c>
      <c r="AJ273" s="37">
        <v>3</v>
      </c>
      <c r="AK273" s="67">
        <v>244.98218400000002</v>
      </c>
      <c r="AL273" s="39">
        <v>91</v>
      </c>
      <c r="AM273" s="32">
        <v>262</v>
      </c>
      <c r="AN273" s="39"/>
      <c r="AO273" s="39"/>
      <c r="AP273" s="39"/>
      <c r="AQ273" s="30"/>
      <c r="AR273" s="26"/>
      <c r="AS273" s="1"/>
    </row>
    <row r="274" spans="1:45" ht="15">
      <c r="A274" s="61">
        <v>13</v>
      </c>
      <c r="B274" s="61">
        <v>12</v>
      </c>
      <c r="C274" s="40">
        <f t="shared" si="50"/>
        <v>13</v>
      </c>
      <c r="D274" s="40">
        <f t="shared" si="50"/>
        <v>12</v>
      </c>
      <c r="E274" s="1" t="s">
        <v>332</v>
      </c>
      <c r="F274" s="29" t="s">
        <v>69</v>
      </c>
      <c r="G274" s="29">
        <v>36</v>
      </c>
      <c r="H274" s="27">
        <v>74</v>
      </c>
      <c r="I274" s="27">
        <v>69</v>
      </c>
      <c r="J274" s="27">
        <v>102</v>
      </c>
      <c r="K274" s="27">
        <v>130</v>
      </c>
      <c r="L274" s="27"/>
      <c r="M274" s="32">
        <f t="shared" si="51"/>
        <v>306</v>
      </c>
      <c r="N274" s="32" t="s">
        <v>1330</v>
      </c>
      <c r="O274" s="32"/>
      <c r="P274" s="42">
        <f t="shared" si="52"/>
        <v>305.97320000000002</v>
      </c>
      <c r="Q274" s="32">
        <f t="shared" si="53"/>
        <v>5</v>
      </c>
      <c r="R274" s="32">
        <f t="shared" ca="1" si="54"/>
        <v>0</v>
      </c>
      <c r="S274" s="33" t="s">
        <v>217</v>
      </c>
      <c r="T274" s="34">
        <f t="shared" si="55"/>
        <v>0</v>
      </c>
      <c r="U274" s="34">
        <f t="shared" ca="1" si="56"/>
        <v>130</v>
      </c>
      <c r="V274" s="34">
        <f>-SUMPRODUCT((S$6:S273=S274)*(X$6:X273=X274))</f>
        <v>0</v>
      </c>
      <c r="W274" s="34">
        <f>-SUMPRODUCT((S$6:S273=S274)*(X$6:X273=X274)*(B$6:B273&lt;&gt;"NS"))</f>
        <v>0</v>
      </c>
      <c r="X274" s="35">
        <f t="shared" si="57"/>
        <v>306.14094</v>
      </c>
      <c r="Y274" s="27">
        <v>130</v>
      </c>
      <c r="Z274" s="27">
        <v>102</v>
      </c>
      <c r="AA274" s="27">
        <v>74</v>
      </c>
      <c r="AB274" s="27">
        <v>69</v>
      </c>
      <c r="AC274" s="29">
        <v>36</v>
      </c>
      <c r="AD274" s="27"/>
      <c r="AF274" s="36">
        <v>0</v>
      </c>
      <c r="AG274" s="36">
        <v>0</v>
      </c>
      <c r="AH274" s="36">
        <v>0</v>
      </c>
      <c r="AI274" s="36">
        <v>0</v>
      </c>
      <c r="AJ274" s="37">
        <v>4</v>
      </c>
      <c r="AK274" s="67">
        <v>245.01778899999999</v>
      </c>
      <c r="AL274" s="39">
        <v>102</v>
      </c>
      <c r="AM274" s="32">
        <v>278</v>
      </c>
      <c r="AN274" s="39"/>
      <c r="AO274" s="39"/>
      <c r="AP274" s="39"/>
      <c r="AQ274" s="30"/>
      <c r="AR274" s="26"/>
      <c r="AS274" s="1"/>
    </row>
    <row r="275" spans="1:45" ht="15">
      <c r="A275" s="61">
        <v>14</v>
      </c>
      <c r="B275" s="61">
        <v>13</v>
      </c>
      <c r="C275" s="40">
        <f t="shared" si="50"/>
        <v>14</v>
      </c>
      <c r="D275" s="40">
        <f t="shared" si="50"/>
        <v>13</v>
      </c>
      <c r="E275" s="1" t="s">
        <v>891</v>
      </c>
      <c r="F275" s="29" t="s">
        <v>412</v>
      </c>
      <c r="G275" s="29">
        <v>140</v>
      </c>
      <c r="H275" s="27">
        <v>145</v>
      </c>
      <c r="I275" s="27"/>
      <c r="J275" s="27"/>
      <c r="K275" s="27"/>
      <c r="L275" s="27"/>
      <c r="M275" s="32">
        <f t="shared" si="51"/>
        <v>285</v>
      </c>
      <c r="N275" s="32" t="s">
        <v>1330</v>
      </c>
      <c r="O275" s="32"/>
      <c r="P275" s="42">
        <f t="shared" si="52"/>
        <v>284.97309999999999</v>
      </c>
      <c r="Q275" s="32">
        <f t="shared" si="53"/>
        <v>2</v>
      </c>
      <c r="R275" s="32">
        <f t="shared" ca="1" si="54"/>
        <v>0</v>
      </c>
      <c r="S275" s="33" t="s">
        <v>217</v>
      </c>
      <c r="T275" s="34">
        <f t="shared" si="55"/>
        <v>0</v>
      </c>
      <c r="U275" s="34">
        <f t="shared" ca="1" si="56"/>
        <v>0</v>
      </c>
      <c r="V275" s="34">
        <f>-SUMPRODUCT((S$6:S274=S275)*(X$6:X274=X275))</f>
        <v>0</v>
      </c>
      <c r="W275" s="34">
        <f>-SUMPRODUCT((S$6:S274=S275)*(X$6:X274=X275)*(B$6:B274&lt;&gt;"NS"))</f>
        <v>0</v>
      </c>
      <c r="X275" s="35">
        <f t="shared" si="57"/>
        <v>285.15899999999999</v>
      </c>
      <c r="Y275" s="27">
        <v>145</v>
      </c>
      <c r="Z275" s="29">
        <v>140</v>
      </c>
      <c r="AA275" s="27"/>
      <c r="AB275" s="27"/>
      <c r="AC275" s="27"/>
      <c r="AD275" s="27"/>
      <c r="AF275" s="36">
        <v>0</v>
      </c>
      <c r="AG275" s="36">
        <v>0</v>
      </c>
      <c r="AH275" s="36">
        <v>0</v>
      </c>
      <c r="AI275" s="36">
        <v>0</v>
      </c>
      <c r="AJ275" s="37">
        <v>2</v>
      </c>
      <c r="AK275" s="67">
        <v>285.1284</v>
      </c>
      <c r="AL275" s="39">
        <v>145</v>
      </c>
      <c r="AM275" s="32">
        <v>430</v>
      </c>
      <c r="AN275" s="39"/>
      <c r="AO275" s="39"/>
      <c r="AP275" s="39"/>
      <c r="AQ275" s="30"/>
      <c r="AR275" s="26"/>
      <c r="AS275" s="1"/>
    </row>
    <row r="276" spans="1:45" ht="15">
      <c r="A276" s="61">
        <v>15</v>
      </c>
      <c r="B276" s="61" t="s">
        <v>111</v>
      </c>
      <c r="C276" s="40">
        <f t="shared" si="50"/>
        <v>15</v>
      </c>
      <c r="D276" s="40" t="str">
        <f t="shared" si="50"/>
        <v>NS</v>
      </c>
      <c r="E276" s="1" t="s">
        <v>336</v>
      </c>
      <c r="F276" s="29" t="s">
        <v>201</v>
      </c>
      <c r="G276" s="29">
        <v>26</v>
      </c>
      <c r="H276" s="27">
        <v>63</v>
      </c>
      <c r="I276" s="27"/>
      <c r="J276" s="27">
        <v>95</v>
      </c>
      <c r="K276" s="27">
        <v>127</v>
      </c>
      <c r="L276" s="27"/>
      <c r="M276" s="32">
        <f t="shared" si="51"/>
        <v>285</v>
      </c>
      <c r="N276" s="32" t="s">
        <v>1331</v>
      </c>
      <c r="O276" s="32"/>
      <c r="P276" s="42">
        <f t="shared" si="52"/>
        <v>284.97300000000001</v>
      </c>
      <c r="Q276" s="32">
        <f t="shared" si="53"/>
        <v>4</v>
      </c>
      <c r="R276" s="32">
        <f t="shared" ca="1" si="54"/>
        <v>0</v>
      </c>
      <c r="S276" s="33" t="s">
        <v>217</v>
      </c>
      <c r="T276" s="34">
        <f t="shared" si="55"/>
        <v>0</v>
      </c>
      <c r="U276" s="34">
        <f t="shared" ca="1" si="56"/>
        <v>127</v>
      </c>
      <c r="V276" s="34">
        <f>-SUMPRODUCT((S$6:S275=S276)*(X$6:X275=X276))</f>
        <v>0</v>
      </c>
      <c r="W276" s="34">
        <f>-SUMPRODUCT((S$6:S275=S276)*(X$6:X275=X276)*(B$6:B275&lt;&gt;"NS"))</f>
        <v>0</v>
      </c>
      <c r="X276" s="35">
        <f t="shared" si="57"/>
        <v>285.13713000000001</v>
      </c>
      <c r="Y276" s="27">
        <v>127</v>
      </c>
      <c r="Z276" s="27">
        <v>95</v>
      </c>
      <c r="AA276" s="27">
        <v>63</v>
      </c>
      <c r="AB276" s="29">
        <v>26</v>
      </c>
      <c r="AC276" s="27"/>
      <c r="AD276" s="27"/>
      <c r="AF276" s="36">
        <v>0</v>
      </c>
      <c r="AG276" s="36">
        <v>0</v>
      </c>
      <c r="AH276" s="36">
        <v>0</v>
      </c>
      <c r="AI276" s="36">
        <v>0</v>
      </c>
      <c r="AJ276" s="37">
        <v>3</v>
      </c>
      <c r="AK276" s="67">
        <v>184.00605000000002</v>
      </c>
      <c r="AL276" s="39">
        <v>95</v>
      </c>
      <c r="AM276" s="32">
        <v>0</v>
      </c>
      <c r="AN276" s="39"/>
      <c r="AO276" s="39"/>
      <c r="AP276" s="39"/>
      <c r="AQ276" s="30"/>
      <c r="AR276" s="26"/>
      <c r="AS276" s="1"/>
    </row>
    <row r="277" spans="1:45" ht="15">
      <c r="A277" s="61">
        <v>16</v>
      </c>
      <c r="B277" s="61">
        <v>14</v>
      </c>
      <c r="C277" s="40">
        <f t="shared" si="50"/>
        <v>16</v>
      </c>
      <c r="D277" s="40">
        <f t="shared" si="50"/>
        <v>14</v>
      </c>
      <c r="E277" s="1" t="s">
        <v>337</v>
      </c>
      <c r="F277" s="29" t="s">
        <v>88</v>
      </c>
      <c r="G277" s="29">
        <v>27</v>
      </c>
      <c r="H277" s="27">
        <v>60</v>
      </c>
      <c r="I277" s="27">
        <v>66</v>
      </c>
      <c r="J277" s="27">
        <v>92</v>
      </c>
      <c r="K277" s="27">
        <v>126</v>
      </c>
      <c r="L277" s="27"/>
      <c r="M277" s="32">
        <f t="shared" si="51"/>
        <v>284</v>
      </c>
      <c r="N277" s="32" t="s">
        <v>1330</v>
      </c>
      <c r="O277" s="32"/>
      <c r="P277" s="42">
        <f t="shared" si="52"/>
        <v>283.97289999999998</v>
      </c>
      <c r="Q277" s="32">
        <f t="shared" si="53"/>
        <v>5</v>
      </c>
      <c r="R277" s="32">
        <f t="shared" ca="1" si="54"/>
        <v>0</v>
      </c>
      <c r="S277" s="33" t="s">
        <v>217</v>
      </c>
      <c r="T277" s="34">
        <f t="shared" si="55"/>
        <v>0</v>
      </c>
      <c r="U277" s="34">
        <f t="shared" ca="1" si="56"/>
        <v>126</v>
      </c>
      <c r="V277" s="34">
        <f>-SUMPRODUCT((S$6:S276=S277)*(X$6:X276=X277))</f>
        <v>0</v>
      </c>
      <c r="W277" s="34">
        <f>-SUMPRODUCT((S$6:S276=S277)*(X$6:X276=X277)*(B$6:B276&lt;&gt;"NS"))</f>
        <v>0</v>
      </c>
      <c r="X277" s="35">
        <f t="shared" si="57"/>
        <v>284.13585999999998</v>
      </c>
      <c r="Y277" s="27">
        <v>126</v>
      </c>
      <c r="Z277" s="27">
        <v>92</v>
      </c>
      <c r="AA277" s="27">
        <v>66</v>
      </c>
      <c r="AB277" s="27">
        <v>60</v>
      </c>
      <c r="AC277" s="29">
        <v>27</v>
      </c>
      <c r="AD277" s="27"/>
      <c r="AF277" s="36">
        <v>0</v>
      </c>
      <c r="AG277" s="36">
        <v>0</v>
      </c>
      <c r="AH277" s="36">
        <v>0</v>
      </c>
      <c r="AI277" s="36">
        <v>0</v>
      </c>
      <c r="AJ277" s="37">
        <v>4</v>
      </c>
      <c r="AK277" s="67">
        <v>218.00698600000001</v>
      </c>
      <c r="AL277" s="39">
        <v>92</v>
      </c>
      <c r="AM277" s="32">
        <v>250</v>
      </c>
      <c r="AN277" s="39"/>
      <c r="AO277" s="39"/>
      <c r="AP277" s="39"/>
      <c r="AQ277" s="30"/>
      <c r="AR277" s="26"/>
      <c r="AS277" s="1"/>
    </row>
    <row r="278" spans="1:45" ht="15">
      <c r="A278" s="61">
        <v>17</v>
      </c>
      <c r="B278" s="61">
        <v>15</v>
      </c>
      <c r="C278" s="40">
        <f t="shared" si="50"/>
        <v>17</v>
      </c>
      <c r="D278" s="40">
        <f t="shared" si="50"/>
        <v>15</v>
      </c>
      <c r="E278" s="1" t="s">
        <v>892</v>
      </c>
      <c r="F278" s="29" t="s">
        <v>88</v>
      </c>
      <c r="G278" s="29"/>
      <c r="H278" s="27">
        <v>124</v>
      </c>
      <c r="I278" s="27"/>
      <c r="J278" s="27">
        <v>136</v>
      </c>
      <c r="K278" s="27"/>
      <c r="L278" s="27"/>
      <c r="M278" s="32">
        <f t="shared" si="51"/>
        <v>260</v>
      </c>
      <c r="N278" s="32" t="s">
        <v>1330</v>
      </c>
      <c r="O278" s="32"/>
      <c r="P278" s="42">
        <f t="shared" si="52"/>
        <v>259.97280000000001</v>
      </c>
      <c r="Q278" s="32">
        <f t="shared" si="53"/>
        <v>2</v>
      </c>
      <c r="R278" s="32">
        <f t="shared" ca="1" si="54"/>
        <v>0</v>
      </c>
      <c r="S278" s="33" t="s">
        <v>217</v>
      </c>
      <c r="T278" s="34">
        <f t="shared" si="55"/>
        <v>0</v>
      </c>
      <c r="U278" s="34">
        <f t="shared" ca="1" si="56"/>
        <v>0</v>
      </c>
      <c r="V278" s="34">
        <f>-SUMPRODUCT((S$6:S277=S278)*(X$6:X277=X278))</f>
        <v>0</v>
      </c>
      <c r="W278" s="34">
        <f>-SUMPRODUCT((S$6:S277=S278)*(X$6:X277=X278)*(B$6:B277&lt;&gt;"NS"))</f>
        <v>0</v>
      </c>
      <c r="X278" s="35">
        <f t="shared" si="57"/>
        <v>260.14839999999998</v>
      </c>
      <c r="Y278" s="27">
        <v>136</v>
      </c>
      <c r="Z278" s="27">
        <v>124</v>
      </c>
      <c r="AA278" s="29"/>
      <c r="AB278" s="27"/>
      <c r="AC278" s="27"/>
      <c r="AD278" s="27"/>
      <c r="AF278" s="36">
        <v>0</v>
      </c>
      <c r="AG278" s="36">
        <v>0</v>
      </c>
      <c r="AH278" s="36">
        <v>0</v>
      </c>
      <c r="AI278" s="36">
        <v>0</v>
      </c>
      <c r="AJ278" s="37">
        <v>2</v>
      </c>
      <c r="AK278" s="67">
        <v>259.98725999999999</v>
      </c>
      <c r="AL278" s="39">
        <v>136</v>
      </c>
      <c r="AM278" s="32">
        <v>396</v>
      </c>
      <c r="AN278" s="39"/>
      <c r="AO278" s="39"/>
      <c r="AP278" s="39"/>
      <c r="AQ278" s="30"/>
      <c r="AR278" s="26"/>
      <c r="AS278" s="1"/>
    </row>
    <row r="279" spans="1:45" ht="15">
      <c r="A279" s="61">
        <v>18</v>
      </c>
      <c r="B279" s="61">
        <v>16</v>
      </c>
      <c r="C279" s="40">
        <f t="shared" si="50"/>
        <v>18</v>
      </c>
      <c r="D279" s="40">
        <f t="shared" si="50"/>
        <v>16</v>
      </c>
      <c r="E279" s="1" t="s">
        <v>893</v>
      </c>
      <c r="F279" s="29" t="s">
        <v>66</v>
      </c>
      <c r="G279" s="29">
        <v>118</v>
      </c>
      <c r="H279" s="27"/>
      <c r="I279" s="27"/>
      <c r="J279" s="27">
        <v>135</v>
      </c>
      <c r="K279" s="27"/>
      <c r="L279" s="27"/>
      <c r="M279" s="32">
        <f t="shared" si="51"/>
        <v>253</v>
      </c>
      <c r="N279" s="32" t="s">
        <v>1330</v>
      </c>
      <c r="O279" s="32"/>
      <c r="P279" s="42">
        <f t="shared" si="52"/>
        <v>252.9727</v>
      </c>
      <c r="Q279" s="32">
        <f t="shared" si="53"/>
        <v>2</v>
      </c>
      <c r="R279" s="32">
        <f t="shared" ca="1" si="54"/>
        <v>0</v>
      </c>
      <c r="S279" s="33" t="s">
        <v>217</v>
      </c>
      <c r="T279" s="34">
        <f t="shared" si="55"/>
        <v>0</v>
      </c>
      <c r="U279" s="34">
        <f t="shared" ca="1" si="56"/>
        <v>0</v>
      </c>
      <c r="V279" s="34">
        <f>-SUMPRODUCT((S$6:S278=S279)*(X$6:X278=X279))</f>
        <v>0</v>
      </c>
      <c r="W279" s="34">
        <f>-SUMPRODUCT((S$6:S278=S279)*(X$6:X278=X279)*(B$6:B278&lt;&gt;"NS"))</f>
        <v>0</v>
      </c>
      <c r="X279" s="35">
        <f t="shared" si="57"/>
        <v>253.14680000000001</v>
      </c>
      <c r="Y279" s="27">
        <v>135</v>
      </c>
      <c r="Z279" s="29">
        <v>118</v>
      </c>
      <c r="AA279" s="27"/>
      <c r="AB279" s="27"/>
      <c r="AC279" s="27"/>
      <c r="AD279" s="27"/>
      <c r="AF279" s="36">
        <v>0</v>
      </c>
      <c r="AG279" s="36">
        <v>0</v>
      </c>
      <c r="AH279" s="36">
        <v>0</v>
      </c>
      <c r="AI279" s="36">
        <v>0</v>
      </c>
      <c r="AJ279" s="37">
        <v>2</v>
      </c>
      <c r="AK279" s="67">
        <v>253.09275</v>
      </c>
      <c r="AL279" s="39">
        <v>135</v>
      </c>
      <c r="AM279" s="32">
        <v>388</v>
      </c>
      <c r="AN279" s="39"/>
      <c r="AO279" s="39"/>
      <c r="AP279" s="39"/>
      <c r="AQ279" s="30"/>
      <c r="AR279" s="26"/>
      <c r="AS279" s="1"/>
    </row>
    <row r="280" spans="1:45" ht="15">
      <c r="A280" s="61">
        <v>19</v>
      </c>
      <c r="B280" s="61">
        <v>17</v>
      </c>
      <c r="C280" s="40">
        <f t="shared" si="50"/>
        <v>19</v>
      </c>
      <c r="D280" s="40">
        <f t="shared" si="50"/>
        <v>17</v>
      </c>
      <c r="E280" s="1" t="s">
        <v>894</v>
      </c>
      <c r="F280" s="29" t="s">
        <v>38</v>
      </c>
      <c r="G280" s="29">
        <v>53</v>
      </c>
      <c r="H280" s="27"/>
      <c r="I280" s="27">
        <v>72</v>
      </c>
      <c r="J280" s="27">
        <v>96</v>
      </c>
      <c r="K280" s="27"/>
      <c r="L280" s="27"/>
      <c r="M280" s="32">
        <f t="shared" si="51"/>
        <v>221</v>
      </c>
      <c r="N280" s="32" t="s">
        <v>1330</v>
      </c>
      <c r="O280" s="32"/>
      <c r="P280" s="42">
        <f t="shared" si="52"/>
        <v>220.9726</v>
      </c>
      <c r="Q280" s="32">
        <f t="shared" si="53"/>
        <v>3</v>
      </c>
      <c r="R280" s="32">
        <f t="shared" ca="1" si="54"/>
        <v>0</v>
      </c>
      <c r="S280" s="33" t="s">
        <v>217</v>
      </c>
      <c r="T280" s="34">
        <f t="shared" si="55"/>
        <v>0</v>
      </c>
      <c r="U280" s="34">
        <f t="shared" ca="1" si="56"/>
        <v>0</v>
      </c>
      <c r="V280" s="34">
        <f>-SUMPRODUCT((S$6:S279=S280)*(X$6:X279=X280))</f>
        <v>0</v>
      </c>
      <c r="W280" s="34">
        <f>-SUMPRODUCT((S$6:S279=S280)*(X$6:X279=X280)*(B$6:B279&lt;&gt;"NS"))</f>
        <v>0</v>
      </c>
      <c r="X280" s="35">
        <f t="shared" si="57"/>
        <v>221.10373000000001</v>
      </c>
      <c r="Y280" s="27">
        <v>96</v>
      </c>
      <c r="Z280" s="27">
        <v>72</v>
      </c>
      <c r="AA280" s="29">
        <v>53</v>
      </c>
      <c r="AB280" s="27"/>
      <c r="AC280" s="27"/>
      <c r="AD280" s="27"/>
      <c r="AF280" s="36">
        <v>0</v>
      </c>
      <c r="AG280" s="36">
        <v>0</v>
      </c>
      <c r="AH280" s="36">
        <v>0</v>
      </c>
      <c r="AI280" s="36">
        <v>0</v>
      </c>
      <c r="AJ280" s="37">
        <v>3</v>
      </c>
      <c r="AK280" s="67">
        <v>221.02713199999997</v>
      </c>
      <c r="AL280" s="39">
        <v>96</v>
      </c>
      <c r="AM280" s="32">
        <v>264</v>
      </c>
      <c r="AN280" s="39"/>
      <c r="AO280" s="39"/>
      <c r="AP280" s="39"/>
      <c r="AQ280" s="30"/>
      <c r="AR280" s="26"/>
      <c r="AS280" s="1"/>
    </row>
    <row r="281" spans="1:45" ht="15">
      <c r="A281" s="61">
        <v>20</v>
      </c>
      <c r="B281" s="61">
        <v>18</v>
      </c>
      <c r="C281" s="40">
        <f t="shared" si="50"/>
        <v>20</v>
      </c>
      <c r="D281" s="40">
        <f t="shared" si="50"/>
        <v>18</v>
      </c>
      <c r="E281" s="1" t="s">
        <v>895</v>
      </c>
      <c r="F281" s="29" t="s">
        <v>69</v>
      </c>
      <c r="G281" s="29">
        <v>184</v>
      </c>
      <c r="H281" s="27"/>
      <c r="I281" s="27"/>
      <c r="J281" s="27"/>
      <c r="K281" s="27"/>
      <c r="L281" s="27"/>
      <c r="M281" s="32">
        <f t="shared" si="51"/>
        <v>184</v>
      </c>
      <c r="N281" s="32" t="s">
        <v>1330</v>
      </c>
      <c r="O281" s="32"/>
      <c r="P281" s="42">
        <f t="shared" si="52"/>
        <v>183.9725</v>
      </c>
      <c r="Q281" s="32">
        <f t="shared" si="53"/>
        <v>1</v>
      </c>
      <c r="R281" s="32">
        <f t="shared" ca="1" si="54"/>
        <v>0</v>
      </c>
      <c r="S281" s="33" t="s">
        <v>217</v>
      </c>
      <c r="T281" s="34">
        <f t="shared" si="55"/>
        <v>0</v>
      </c>
      <c r="U281" s="34">
        <f t="shared" ca="1" si="56"/>
        <v>0</v>
      </c>
      <c r="V281" s="34">
        <f>-SUMPRODUCT((S$6:S280=S281)*(X$6:X280=X281))</f>
        <v>0</v>
      </c>
      <c r="W281" s="34">
        <f>-SUMPRODUCT((S$6:S280=S281)*(X$6:X280=X281)*(B$6:B280&lt;&gt;"NS"))</f>
        <v>0</v>
      </c>
      <c r="X281" s="35">
        <f t="shared" si="57"/>
        <v>184.184</v>
      </c>
      <c r="Y281" s="29">
        <v>184</v>
      </c>
      <c r="Z281" s="27"/>
      <c r="AA281" s="27"/>
      <c r="AB281" s="27"/>
      <c r="AC281" s="27"/>
      <c r="AD281" s="27"/>
      <c r="AF281" s="36">
        <v>0</v>
      </c>
      <c r="AG281" s="36">
        <v>0</v>
      </c>
      <c r="AH281" s="36">
        <v>0</v>
      </c>
      <c r="AI281" s="36">
        <v>0</v>
      </c>
      <c r="AJ281" s="37">
        <v>1</v>
      </c>
      <c r="AK281" s="67">
        <v>184.15690000000001</v>
      </c>
      <c r="AL281" s="39">
        <v>184</v>
      </c>
      <c r="AM281" s="32">
        <v>368</v>
      </c>
      <c r="AN281" s="39"/>
      <c r="AO281" s="39"/>
      <c r="AP281" s="39"/>
      <c r="AQ281" s="30"/>
      <c r="AR281" s="26"/>
      <c r="AS281" s="1"/>
    </row>
    <row r="282" spans="1:45" ht="15">
      <c r="A282" s="61">
        <v>21</v>
      </c>
      <c r="B282" s="61">
        <v>19</v>
      </c>
      <c r="C282" s="40">
        <f t="shared" si="50"/>
        <v>21</v>
      </c>
      <c r="D282" s="40">
        <f t="shared" si="50"/>
        <v>19</v>
      </c>
      <c r="E282" s="1" t="s">
        <v>896</v>
      </c>
      <c r="F282" s="29" t="s">
        <v>25</v>
      </c>
      <c r="G282" s="29">
        <v>66</v>
      </c>
      <c r="H282" s="27">
        <v>101</v>
      </c>
      <c r="I282" s="27"/>
      <c r="J282" s="27"/>
      <c r="K282" s="27"/>
      <c r="L282" s="27"/>
      <c r="M282" s="32">
        <f t="shared" si="51"/>
        <v>167</v>
      </c>
      <c r="N282" s="32" t="s">
        <v>1330</v>
      </c>
      <c r="O282" s="32"/>
      <c r="P282" s="42">
        <f t="shared" si="52"/>
        <v>166.97239999999999</v>
      </c>
      <c r="Q282" s="32">
        <f t="shared" si="53"/>
        <v>2</v>
      </c>
      <c r="R282" s="32">
        <f t="shared" ca="1" si="54"/>
        <v>0</v>
      </c>
      <c r="S282" s="33" t="s">
        <v>217</v>
      </c>
      <c r="T282" s="34">
        <f t="shared" si="55"/>
        <v>0</v>
      </c>
      <c r="U282" s="34">
        <f t="shared" ca="1" si="56"/>
        <v>0</v>
      </c>
      <c r="V282" s="34">
        <f>-SUMPRODUCT((S$6:S281=S282)*(X$6:X281=X282))</f>
        <v>0</v>
      </c>
      <c r="W282" s="34">
        <f>-SUMPRODUCT((S$6:S281=S282)*(X$6:X281=X282)*(B$6:B281&lt;&gt;"NS"))</f>
        <v>0</v>
      </c>
      <c r="X282" s="35">
        <f t="shared" si="57"/>
        <v>167.10759999999999</v>
      </c>
      <c r="Y282" s="27">
        <v>101</v>
      </c>
      <c r="Z282" s="29">
        <v>66</v>
      </c>
      <c r="AA282" s="27"/>
      <c r="AB282" s="27"/>
      <c r="AC282" s="27"/>
      <c r="AD282" s="27"/>
      <c r="AF282" s="36">
        <v>0</v>
      </c>
      <c r="AG282" s="36">
        <v>0</v>
      </c>
      <c r="AH282" s="36">
        <v>0</v>
      </c>
      <c r="AI282" s="36">
        <v>0</v>
      </c>
      <c r="AJ282" s="37">
        <v>2</v>
      </c>
      <c r="AK282" s="67">
        <v>167.0488</v>
      </c>
      <c r="AL282" s="39">
        <v>101</v>
      </c>
      <c r="AM282" s="32">
        <v>268</v>
      </c>
      <c r="AN282" s="39"/>
      <c r="AO282" s="39"/>
      <c r="AP282" s="39"/>
      <c r="AQ282" s="30"/>
      <c r="AR282" s="26"/>
      <c r="AS282" s="1"/>
    </row>
    <row r="283" spans="1:45" ht="15">
      <c r="A283" s="61">
        <v>22</v>
      </c>
      <c r="B283" s="61">
        <v>20</v>
      </c>
      <c r="C283" s="40">
        <f t="shared" si="50"/>
        <v>22</v>
      </c>
      <c r="D283" s="40">
        <f t="shared" si="50"/>
        <v>20</v>
      </c>
      <c r="E283" s="1" t="s">
        <v>897</v>
      </c>
      <c r="F283" s="29" t="s">
        <v>88</v>
      </c>
      <c r="G283" s="29"/>
      <c r="H283" s="27"/>
      <c r="I283" s="27"/>
      <c r="J283" s="27">
        <v>160</v>
      </c>
      <c r="K283" s="27"/>
      <c r="L283" s="27"/>
      <c r="M283" s="32">
        <f t="shared" si="51"/>
        <v>160</v>
      </c>
      <c r="N283" s="32" t="s">
        <v>1330</v>
      </c>
      <c r="O283" s="32"/>
      <c r="P283" s="42">
        <f t="shared" si="52"/>
        <v>159.97229999999999</v>
      </c>
      <c r="Q283" s="32">
        <f t="shared" si="53"/>
        <v>1</v>
      </c>
      <c r="R283" s="32">
        <f t="shared" ca="1" si="54"/>
        <v>0</v>
      </c>
      <c r="S283" s="33" t="s">
        <v>217</v>
      </c>
      <c r="T283" s="34">
        <f t="shared" si="55"/>
        <v>0</v>
      </c>
      <c r="U283" s="34">
        <f t="shared" ca="1" si="56"/>
        <v>0</v>
      </c>
      <c r="V283" s="34">
        <f>-SUMPRODUCT((S$6:S282=S283)*(X$6:X282=X283))</f>
        <v>0</v>
      </c>
      <c r="W283" s="34">
        <f>-SUMPRODUCT((S$6:S282=S283)*(X$6:X282=X283)*(B$6:B282&lt;&gt;"NS"))</f>
        <v>0</v>
      </c>
      <c r="X283" s="35">
        <f t="shared" si="57"/>
        <v>160.16</v>
      </c>
      <c r="Y283" s="27">
        <v>160</v>
      </c>
      <c r="Z283" s="29"/>
      <c r="AA283" s="27"/>
      <c r="AB283" s="27"/>
      <c r="AC283" s="27"/>
      <c r="AD283" s="27"/>
      <c r="AF283" s="36">
        <v>0</v>
      </c>
      <c r="AG283" s="36">
        <v>0</v>
      </c>
      <c r="AH283" s="36">
        <v>0</v>
      </c>
      <c r="AI283" s="36">
        <v>0</v>
      </c>
      <c r="AJ283" s="37">
        <v>1</v>
      </c>
      <c r="AK283" s="67">
        <v>159.9742</v>
      </c>
      <c r="AL283" s="39">
        <v>160</v>
      </c>
      <c r="AM283" s="32">
        <v>320</v>
      </c>
      <c r="AN283" s="39"/>
      <c r="AO283" s="39"/>
      <c r="AP283" s="39"/>
      <c r="AQ283" s="30"/>
      <c r="AR283" s="26"/>
      <c r="AS283" s="1"/>
    </row>
    <row r="284" spans="1:45" ht="15">
      <c r="A284" s="61">
        <v>23</v>
      </c>
      <c r="B284" s="61">
        <v>21</v>
      </c>
      <c r="C284" s="40">
        <f t="shared" si="50"/>
        <v>23</v>
      </c>
      <c r="D284" s="40">
        <f t="shared" si="50"/>
        <v>21</v>
      </c>
      <c r="E284" s="1" t="s">
        <v>898</v>
      </c>
      <c r="F284" s="29" t="s">
        <v>47</v>
      </c>
      <c r="G284" s="29">
        <v>8</v>
      </c>
      <c r="H284" s="27"/>
      <c r="I284" s="27">
        <v>59</v>
      </c>
      <c r="J284" s="27">
        <v>89</v>
      </c>
      <c r="K284" s="27"/>
      <c r="L284" s="27"/>
      <c r="M284" s="32">
        <f t="shared" si="51"/>
        <v>156</v>
      </c>
      <c r="N284" s="32" t="s">
        <v>1330</v>
      </c>
      <c r="O284" s="32"/>
      <c r="P284" s="42">
        <f t="shared" si="52"/>
        <v>155.97219999999999</v>
      </c>
      <c r="Q284" s="32">
        <f t="shared" si="53"/>
        <v>3</v>
      </c>
      <c r="R284" s="32">
        <f t="shared" ca="1" si="54"/>
        <v>0</v>
      </c>
      <c r="S284" s="33" t="s">
        <v>217</v>
      </c>
      <c r="T284" s="34">
        <f t="shared" si="55"/>
        <v>0</v>
      </c>
      <c r="U284" s="34">
        <f t="shared" ca="1" si="56"/>
        <v>0</v>
      </c>
      <c r="V284" s="34">
        <f>-SUMPRODUCT((S$6:S283=S284)*(X$6:X283=X284))</f>
        <v>0</v>
      </c>
      <c r="W284" s="34">
        <f>-SUMPRODUCT((S$6:S283=S284)*(X$6:X283=X284)*(B$6:B283&lt;&gt;"NS"))</f>
        <v>0</v>
      </c>
      <c r="X284" s="35">
        <f t="shared" si="57"/>
        <v>156.09497999999999</v>
      </c>
      <c r="Y284" s="27">
        <v>89</v>
      </c>
      <c r="Z284" s="27">
        <v>59</v>
      </c>
      <c r="AA284" s="29">
        <v>8</v>
      </c>
      <c r="AB284" s="27"/>
      <c r="AC284" s="27"/>
      <c r="AD284" s="27"/>
      <c r="AF284" s="36">
        <v>0</v>
      </c>
      <c r="AG284" s="36">
        <v>0</v>
      </c>
      <c r="AH284" s="36">
        <v>0</v>
      </c>
      <c r="AI284" s="36">
        <v>0</v>
      </c>
      <c r="AJ284" s="37">
        <v>3</v>
      </c>
      <c r="AK284" s="67">
        <v>155.981449</v>
      </c>
      <c r="AL284" s="39">
        <v>89</v>
      </c>
      <c r="AM284" s="32">
        <v>237</v>
      </c>
      <c r="AN284" s="39"/>
      <c r="AO284" s="39"/>
      <c r="AP284" s="39"/>
      <c r="AQ284" s="30"/>
      <c r="AR284" s="26"/>
      <c r="AS284" s="1"/>
    </row>
    <row r="285" spans="1:45" ht="15">
      <c r="A285" s="61">
        <v>24</v>
      </c>
      <c r="B285" s="61">
        <v>22</v>
      </c>
      <c r="C285" s="40">
        <f t="shared" si="50"/>
        <v>24</v>
      </c>
      <c r="D285" s="40">
        <f t="shared" si="50"/>
        <v>22</v>
      </c>
      <c r="E285" s="1" t="s">
        <v>899</v>
      </c>
      <c r="F285" s="29" t="s">
        <v>50</v>
      </c>
      <c r="G285" s="29"/>
      <c r="H285" s="27"/>
      <c r="I285" s="27">
        <v>154</v>
      </c>
      <c r="J285" s="27"/>
      <c r="K285" s="27"/>
      <c r="L285" s="27"/>
      <c r="M285" s="32">
        <f t="shared" si="51"/>
        <v>154</v>
      </c>
      <c r="N285" s="32" t="s">
        <v>1330</v>
      </c>
      <c r="O285" s="32"/>
      <c r="P285" s="42">
        <f t="shared" si="52"/>
        <v>153.97210000000001</v>
      </c>
      <c r="Q285" s="32">
        <f t="shared" si="53"/>
        <v>1</v>
      </c>
      <c r="R285" s="32">
        <f t="shared" ca="1" si="54"/>
        <v>0</v>
      </c>
      <c r="S285" s="33" t="s">
        <v>217</v>
      </c>
      <c r="T285" s="34">
        <f t="shared" si="55"/>
        <v>0</v>
      </c>
      <c r="U285" s="34">
        <f t="shared" ca="1" si="56"/>
        <v>0</v>
      </c>
      <c r="V285" s="34">
        <f>-SUMPRODUCT((S$6:S284=S285)*(X$6:X284=X285))</f>
        <v>0</v>
      </c>
      <c r="W285" s="34">
        <f>-SUMPRODUCT((S$6:S284=S285)*(X$6:X284=X285)*(B$6:B284&lt;&gt;"NS"))</f>
        <v>0</v>
      </c>
      <c r="X285" s="35">
        <f t="shared" si="57"/>
        <v>154.154</v>
      </c>
      <c r="Y285" s="27">
        <v>154</v>
      </c>
      <c r="Z285" s="29"/>
      <c r="AA285" s="27"/>
      <c r="AB285" s="27"/>
      <c r="AC285" s="27"/>
      <c r="AD285" s="27"/>
      <c r="AF285" s="36">
        <v>0</v>
      </c>
      <c r="AG285" s="36">
        <v>0</v>
      </c>
      <c r="AH285" s="36">
        <v>0</v>
      </c>
      <c r="AI285" s="36">
        <v>0</v>
      </c>
      <c r="AJ285" s="37">
        <v>1</v>
      </c>
      <c r="AK285" s="67">
        <v>153.97394</v>
      </c>
      <c r="AL285" s="39">
        <v>154</v>
      </c>
      <c r="AM285" s="32">
        <v>308</v>
      </c>
      <c r="AN285" s="39"/>
      <c r="AO285" s="39"/>
      <c r="AP285" s="39"/>
      <c r="AQ285" s="30"/>
      <c r="AR285" s="26"/>
      <c r="AS285" s="1"/>
    </row>
    <row r="286" spans="1:45" ht="15">
      <c r="A286" s="61">
        <v>25</v>
      </c>
      <c r="B286" s="61">
        <v>23</v>
      </c>
      <c r="C286" s="40">
        <f t="shared" si="50"/>
        <v>25</v>
      </c>
      <c r="D286" s="40">
        <f t="shared" si="50"/>
        <v>23</v>
      </c>
      <c r="E286" s="1" t="s">
        <v>900</v>
      </c>
      <c r="F286" s="29" t="s">
        <v>29</v>
      </c>
      <c r="G286" s="29"/>
      <c r="H286" s="27">
        <v>64</v>
      </c>
      <c r="I286" s="27">
        <v>83</v>
      </c>
      <c r="J286" s="27"/>
      <c r="K286" s="27"/>
      <c r="L286" s="27"/>
      <c r="M286" s="32">
        <f t="shared" si="51"/>
        <v>147</v>
      </c>
      <c r="N286" s="32" t="s">
        <v>1330</v>
      </c>
      <c r="O286" s="32"/>
      <c r="P286" s="42">
        <f t="shared" si="52"/>
        <v>146.97200000000001</v>
      </c>
      <c r="Q286" s="32">
        <f t="shared" si="53"/>
        <v>2</v>
      </c>
      <c r="R286" s="32">
        <f t="shared" ca="1" si="54"/>
        <v>0</v>
      </c>
      <c r="S286" s="33" t="s">
        <v>217</v>
      </c>
      <c r="T286" s="34">
        <f t="shared" si="55"/>
        <v>0</v>
      </c>
      <c r="U286" s="34">
        <f t="shared" ca="1" si="56"/>
        <v>0</v>
      </c>
      <c r="V286" s="34">
        <f>-SUMPRODUCT((S$6:S285=S286)*(X$6:X285=X286))</f>
        <v>0</v>
      </c>
      <c r="W286" s="34">
        <f>-SUMPRODUCT((S$6:S285=S286)*(X$6:X285=X286)*(B$6:B285&lt;&gt;"NS"))</f>
        <v>0</v>
      </c>
      <c r="X286" s="35">
        <f t="shared" si="57"/>
        <v>147.08940000000001</v>
      </c>
      <c r="Y286" s="27">
        <v>83</v>
      </c>
      <c r="Z286" s="27">
        <v>64</v>
      </c>
      <c r="AA286" s="29"/>
      <c r="AB286" s="27"/>
      <c r="AC286" s="27"/>
      <c r="AD286" s="27"/>
      <c r="AF286" s="36">
        <v>0</v>
      </c>
      <c r="AG286" s="36">
        <v>0</v>
      </c>
      <c r="AH286" s="36">
        <v>0</v>
      </c>
      <c r="AI286" s="36">
        <v>0</v>
      </c>
      <c r="AJ286" s="37">
        <v>2</v>
      </c>
      <c r="AK286" s="67">
        <v>146.97953000000001</v>
      </c>
      <c r="AL286" s="39">
        <v>83</v>
      </c>
      <c r="AM286" s="32">
        <v>230</v>
      </c>
      <c r="AN286" s="39"/>
      <c r="AO286" s="39"/>
      <c r="AP286" s="39"/>
      <c r="AQ286" s="30"/>
      <c r="AR286" s="26"/>
      <c r="AS286" s="1"/>
    </row>
    <row r="287" spans="1:45" ht="15">
      <c r="A287" s="61">
        <v>26</v>
      </c>
      <c r="B287" s="61">
        <v>24</v>
      </c>
      <c r="C287" s="40">
        <f t="shared" si="50"/>
        <v>26</v>
      </c>
      <c r="D287" s="40">
        <f t="shared" si="50"/>
        <v>24</v>
      </c>
      <c r="E287" s="1" t="s">
        <v>901</v>
      </c>
      <c r="F287" s="29" t="s">
        <v>38</v>
      </c>
      <c r="G287" s="29"/>
      <c r="H287" s="27"/>
      <c r="I287" s="27"/>
      <c r="J287" s="27">
        <v>139</v>
      </c>
      <c r="K287" s="27"/>
      <c r="L287" s="27"/>
      <c r="M287" s="32">
        <f t="shared" si="51"/>
        <v>139</v>
      </c>
      <c r="N287" s="32" t="s">
        <v>1330</v>
      </c>
      <c r="O287" s="32"/>
      <c r="P287" s="42">
        <f t="shared" si="52"/>
        <v>138.97190000000001</v>
      </c>
      <c r="Q287" s="32">
        <f t="shared" si="53"/>
        <v>1</v>
      </c>
      <c r="R287" s="32">
        <f t="shared" ca="1" si="54"/>
        <v>0</v>
      </c>
      <c r="S287" s="33" t="s">
        <v>217</v>
      </c>
      <c r="T287" s="34">
        <f t="shared" si="55"/>
        <v>0</v>
      </c>
      <c r="U287" s="34">
        <f t="shared" ca="1" si="56"/>
        <v>0</v>
      </c>
      <c r="V287" s="34">
        <f>-SUMPRODUCT((S$6:S286=S287)*(X$6:X286=X287))</f>
        <v>0</v>
      </c>
      <c r="W287" s="34">
        <f>-SUMPRODUCT((S$6:S286=S287)*(X$6:X286=X287)*(B$6:B286&lt;&gt;"NS"))</f>
        <v>0</v>
      </c>
      <c r="X287" s="35">
        <f t="shared" si="57"/>
        <v>139.13900000000001</v>
      </c>
      <c r="Y287" s="27">
        <v>139</v>
      </c>
      <c r="Z287" s="29"/>
      <c r="AA287" s="27"/>
      <c r="AB287" s="27"/>
      <c r="AC287" s="27"/>
      <c r="AD287" s="27"/>
      <c r="AF287" s="36">
        <v>0</v>
      </c>
      <c r="AG287" s="36">
        <v>0</v>
      </c>
      <c r="AH287" s="36">
        <v>0</v>
      </c>
      <c r="AI287" s="36">
        <v>0</v>
      </c>
      <c r="AJ287" s="37">
        <v>1</v>
      </c>
      <c r="AK287" s="67">
        <v>138.97358999999997</v>
      </c>
      <c r="AL287" s="39">
        <v>139</v>
      </c>
      <c r="AM287" s="32">
        <v>278</v>
      </c>
      <c r="AN287" s="39"/>
      <c r="AO287" s="39"/>
      <c r="AP287" s="39"/>
      <c r="AQ287" s="30"/>
      <c r="AR287" s="26"/>
      <c r="AS287" s="1"/>
    </row>
    <row r="288" spans="1:45" ht="15">
      <c r="A288" s="61">
        <v>27</v>
      </c>
      <c r="B288" s="61" t="s">
        <v>111</v>
      </c>
      <c r="C288" s="40">
        <f t="shared" si="50"/>
        <v>27</v>
      </c>
      <c r="D288" s="40" t="str">
        <f t="shared" si="50"/>
        <v>NS</v>
      </c>
      <c r="E288" s="1" t="s">
        <v>335</v>
      </c>
      <c r="F288" s="29" t="s">
        <v>201</v>
      </c>
      <c r="G288" s="29"/>
      <c r="H288" s="27"/>
      <c r="I288" s="27"/>
      <c r="J288" s="27"/>
      <c r="K288" s="27">
        <v>128</v>
      </c>
      <c r="L288" s="27"/>
      <c r="M288" s="32">
        <f t="shared" si="51"/>
        <v>128</v>
      </c>
      <c r="N288" s="32" t="s">
        <v>1331</v>
      </c>
      <c r="O288" s="32"/>
      <c r="P288" s="42">
        <f t="shared" si="52"/>
        <v>127.9718</v>
      </c>
      <c r="Q288" s="32">
        <f t="shared" si="53"/>
        <v>1</v>
      </c>
      <c r="R288" s="32" t="str">
        <f t="shared" ca="1" si="54"/>
        <v>Y</v>
      </c>
      <c r="S288" s="33" t="s">
        <v>217</v>
      </c>
      <c r="T288" s="34">
        <f t="shared" si="55"/>
        <v>0</v>
      </c>
      <c r="U288" s="34">
        <f t="shared" ca="1" si="56"/>
        <v>128</v>
      </c>
      <c r="V288" s="34">
        <f>-SUMPRODUCT((S$6:S287=S288)*(X$6:X287=X288))</f>
        <v>0</v>
      </c>
      <c r="W288" s="34">
        <f>-SUMPRODUCT((S$6:S287=S288)*(X$6:X287=X288)*(B$6:B287&lt;&gt;"NS"))</f>
        <v>0</v>
      </c>
      <c r="X288" s="35">
        <f t="shared" si="57"/>
        <v>128.12799999999999</v>
      </c>
      <c r="Y288" s="27">
        <v>128</v>
      </c>
      <c r="Z288" s="29"/>
      <c r="AA288" s="27"/>
      <c r="AB288" s="27"/>
      <c r="AC288" s="27"/>
      <c r="AD288" s="27"/>
      <c r="AF288" s="36"/>
      <c r="AG288" s="36"/>
      <c r="AH288" s="36"/>
      <c r="AI288" s="36"/>
      <c r="AJ288" s="37"/>
      <c r="AK288" s="67"/>
      <c r="AL288" s="39"/>
      <c r="AM288" s="32"/>
      <c r="AN288" s="39"/>
      <c r="AO288" s="39"/>
      <c r="AP288" s="39"/>
      <c r="AQ288" s="30"/>
      <c r="AR288" s="26"/>
      <c r="AS288" s="1"/>
    </row>
    <row r="289" spans="1:45" ht="15">
      <c r="A289" s="61">
        <v>28</v>
      </c>
      <c r="B289" s="61">
        <v>25</v>
      </c>
      <c r="C289" s="40">
        <f t="shared" si="50"/>
        <v>28</v>
      </c>
      <c r="D289" s="40">
        <f t="shared" si="50"/>
        <v>25</v>
      </c>
      <c r="E289" s="1" t="s">
        <v>902</v>
      </c>
      <c r="F289" s="29" t="s">
        <v>66</v>
      </c>
      <c r="G289" s="29">
        <v>12</v>
      </c>
      <c r="H289" s="27">
        <v>52</v>
      </c>
      <c r="I289" s="27">
        <v>58</v>
      </c>
      <c r="J289" s="27"/>
      <c r="K289" s="27"/>
      <c r="L289" s="27"/>
      <c r="M289" s="32">
        <f t="shared" si="51"/>
        <v>122</v>
      </c>
      <c r="N289" s="32" t="s">
        <v>1330</v>
      </c>
      <c r="O289" s="32"/>
      <c r="P289" s="42">
        <f t="shared" si="52"/>
        <v>121.9717</v>
      </c>
      <c r="Q289" s="32">
        <f t="shared" si="53"/>
        <v>3</v>
      </c>
      <c r="R289" s="32">
        <f t="shared" ca="1" si="54"/>
        <v>0</v>
      </c>
      <c r="S289" s="33" t="s">
        <v>217</v>
      </c>
      <c r="T289" s="34">
        <f t="shared" si="55"/>
        <v>0</v>
      </c>
      <c r="U289" s="34">
        <f t="shared" ca="1" si="56"/>
        <v>0</v>
      </c>
      <c r="V289" s="34">
        <f>-SUMPRODUCT((S$6:S288=S289)*(X$6:X288=X289))</f>
        <v>0</v>
      </c>
      <c r="W289" s="34">
        <f>-SUMPRODUCT((S$6:S288=S289)*(X$6:X288=X289)*(B$6:B288&lt;&gt;"NS"))</f>
        <v>0</v>
      </c>
      <c r="X289" s="35">
        <f t="shared" si="57"/>
        <v>122.06332</v>
      </c>
      <c r="Y289" s="27">
        <v>58</v>
      </c>
      <c r="Z289" s="27">
        <v>52</v>
      </c>
      <c r="AA289" s="29">
        <v>12</v>
      </c>
      <c r="AB289" s="27"/>
      <c r="AC289" s="27"/>
      <c r="AD289" s="27"/>
      <c r="AF289" s="36">
        <v>0</v>
      </c>
      <c r="AG289" s="36">
        <v>0</v>
      </c>
      <c r="AH289" s="36">
        <v>0</v>
      </c>
      <c r="AI289" s="36">
        <v>0</v>
      </c>
      <c r="AJ289" s="37">
        <v>3</v>
      </c>
      <c r="AK289" s="67">
        <v>121.98988</v>
      </c>
      <c r="AL289" s="39">
        <v>58</v>
      </c>
      <c r="AM289" s="32">
        <v>168</v>
      </c>
      <c r="AN289" s="39"/>
      <c r="AO289" s="39"/>
      <c r="AP289" s="39"/>
      <c r="AQ289" s="30"/>
      <c r="AR289" s="26"/>
      <c r="AS289" s="1"/>
    </row>
    <row r="290" spans="1:45" ht="15">
      <c r="A290" s="61">
        <v>29</v>
      </c>
      <c r="B290" s="61">
        <v>26</v>
      </c>
      <c r="C290" s="40">
        <f t="shared" si="50"/>
        <v>29</v>
      </c>
      <c r="D290" s="40">
        <f t="shared" si="50"/>
        <v>26</v>
      </c>
      <c r="E290" s="1" t="s">
        <v>903</v>
      </c>
      <c r="F290" s="29" t="s">
        <v>69</v>
      </c>
      <c r="G290" s="29"/>
      <c r="H290" s="27">
        <v>57</v>
      </c>
      <c r="I290" s="27">
        <v>60</v>
      </c>
      <c r="J290" s="27"/>
      <c r="K290" s="27"/>
      <c r="L290" s="27"/>
      <c r="M290" s="32">
        <f t="shared" si="51"/>
        <v>117</v>
      </c>
      <c r="N290" s="32" t="s">
        <v>1330</v>
      </c>
      <c r="O290" s="32"/>
      <c r="P290" s="42">
        <f t="shared" si="52"/>
        <v>116.9716</v>
      </c>
      <c r="Q290" s="32">
        <f t="shared" si="53"/>
        <v>2</v>
      </c>
      <c r="R290" s="32">
        <f t="shared" ca="1" si="54"/>
        <v>0</v>
      </c>
      <c r="S290" s="33" t="s">
        <v>217</v>
      </c>
      <c r="T290" s="34">
        <f t="shared" si="55"/>
        <v>0</v>
      </c>
      <c r="U290" s="34">
        <f t="shared" ca="1" si="56"/>
        <v>0</v>
      </c>
      <c r="V290" s="34">
        <f>-SUMPRODUCT((S$6:S289=S290)*(X$6:X289=X290))</f>
        <v>0</v>
      </c>
      <c r="W290" s="34">
        <f>-SUMPRODUCT((S$6:S289=S290)*(X$6:X289=X290)*(B$6:B289&lt;&gt;"NS"))</f>
        <v>0</v>
      </c>
      <c r="X290" s="35">
        <f t="shared" si="57"/>
        <v>117.06570000000001</v>
      </c>
      <c r="Y290" s="27">
        <v>60</v>
      </c>
      <c r="Z290" s="27">
        <v>57</v>
      </c>
      <c r="AA290" s="29"/>
      <c r="AB290" s="27"/>
      <c r="AC290" s="27"/>
      <c r="AD290" s="27"/>
      <c r="AF290" s="36">
        <v>0</v>
      </c>
      <c r="AG290" s="36">
        <v>0</v>
      </c>
      <c r="AH290" s="36">
        <v>0</v>
      </c>
      <c r="AI290" s="36">
        <v>0</v>
      </c>
      <c r="AJ290" s="37">
        <v>2</v>
      </c>
      <c r="AK290" s="67">
        <v>116.9783</v>
      </c>
      <c r="AL290" s="39">
        <v>60</v>
      </c>
      <c r="AM290" s="32">
        <v>177</v>
      </c>
      <c r="AN290" s="39"/>
      <c r="AO290" s="39"/>
      <c r="AP290" s="39"/>
      <c r="AQ290" s="30"/>
      <c r="AR290" s="26"/>
      <c r="AS290" s="1"/>
    </row>
    <row r="291" spans="1:45" ht="15">
      <c r="A291" s="61">
        <v>30</v>
      </c>
      <c r="B291" s="61">
        <v>27</v>
      </c>
      <c r="C291" s="40">
        <f t="shared" si="50"/>
        <v>30</v>
      </c>
      <c r="D291" s="40">
        <f t="shared" si="50"/>
        <v>27</v>
      </c>
      <c r="E291" s="1" t="s">
        <v>904</v>
      </c>
      <c r="F291" s="29" t="s">
        <v>84</v>
      </c>
      <c r="G291" s="29">
        <v>103</v>
      </c>
      <c r="H291" s="27"/>
      <c r="I291" s="27"/>
      <c r="J291" s="27"/>
      <c r="K291" s="27"/>
      <c r="L291" s="27"/>
      <c r="M291" s="32">
        <f t="shared" si="51"/>
        <v>103</v>
      </c>
      <c r="N291" s="32" t="s">
        <v>1330</v>
      </c>
      <c r="O291" s="32"/>
      <c r="P291" s="42">
        <f t="shared" si="52"/>
        <v>102.97150000000001</v>
      </c>
      <c r="Q291" s="32">
        <f t="shared" si="53"/>
        <v>1</v>
      </c>
      <c r="R291" s="32">
        <f t="shared" ca="1" si="54"/>
        <v>0</v>
      </c>
      <c r="S291" s="33" t="s">
        <v>217</v>
      </c>
      <c r="T291" s="34">
        <f t="shared" si="55"/>
        <v>0</v>
      </c>
      <c r="U291" s="34">
        <f t="shared" ca="1" si="56"/>
        <v>0</v>
      </c>
      <c r="V291" s="34">
        <f>-SUMPRODUCT((S$6:S290=S291)*(X$6:X290=X291))</f>
        <v>0</v>
      </c>
      <c r="W291" s="34">
        <f>-SUMPRODUCT((S$6:S290=S291)*(X$6:X290=X291)*(B$6:B290&lt;&gt;"NS"))</f>
        <v>0</v>
      </c>
      <c r="X291" s="35">
        <f t="shared" si="57"/>
        <v>103.10299999999999</v>
      </c>
      <c r="Y291" s="29">
        <v>103</v>
      </c>
      <c r="Z291" s="27"/>
      <c r="AA291" s="27"/>
      <c r="AB291" s="27"/>
      <c r="AC291" s="27"/>
      <c r="AD291" s="27"/>
      <c r="AF291" s="36">
        <v>0</v>
      </c>
      <c r="AG291" s="36">
        <v>0</v>
      </c>
      <c r="AH291" s="36">
        <v>0</v>
      </c>
      <c r="AI291" s="36">
        <v>0</v>
      </c>
      <c r="AJ291" s="37">
        <v>1</v>
      </c>
      <c r="AK291" s="67">
        <v>103.0749</v>
      </c>
      <c r="AL291" s="39">
        <v>103</v>
      </c>
      <c r="AM291" s="32">
        <v>206</v>
      </c>
      <c r="AN291" s="39"/>
      <c r="AO291" s="39"/>
      <c r="AP291" s="39"/>
      <c r="AQ291" s="30"/>
      <c r="AR291" s="26"/>
      <c r="AS291" s="1"/>
    </row>
    <row r="292" spans="1:45" ht="15">
      <c r="A292" s="61">
        <v>31</v>
      </c>
      <c r="B292" s="61">
        <v>28</v>
      </c>
      <c r="C292" s="40">
        <f t="shared" si="50"/>
        <v>31</v>
      </c>
      <c r="D292" s="40">
        <f t="shared" si="50"/>
        <v>28</v>
      </c>
      <c r="E292" s="1" t="s">
        <v>905</v>
      </c>
      <c r="F292" s="29" t="s">
        <v>252</v>
      </c>
      <c r="G292" s="29">
        <v>56</v>
      </c>
      <c r="H292" s="27"/>
      <c r="I292" s="27"/>
      <c r="J292" s="27"/>
      <c r="K292" s="27"/>
      <c r="L292" s="27"/>
      <c r="M292" s="32">
        <f t="shared" si="51"/>
        <v>56</v>
      </c>
      <c r="N292" s="32" t="s">
        <v>1330</v>
      </c>
      <c r="O292" s="32"/>
      <c r="P292" s="42">
        <f t="shared" si="52"/>
        <v>55.971400000000003</v>
      </c>
      <c r="Q292" s="32">
        <f t="shared" si="53"/>
        <v>1</v>
      </c>
      <c r="R292" s="32">
        <f t="shared" ca="1" si="54"/>
        <v>0</v>
      </c>
      <c r="S292" s="33" t="s">
        <v>217</v>
      </c>
      <c r="T292" s="34">
        <f t="shared" si="55"/>
        <v>0</v>
      </c>
      <c r="U292" s="34">
        <f t="shared" ca="1" si="56"/>
        <v>0</v>
      </c>
      <c r="V292" s="34">
        <f>-SUMPRODUCT((S$6:S291=S292)*(X$6:X291=X292))</f>
        <v>0</v>
      </c>
      <c r="W292" s="34">
        <f>-SUMPRODUCT((S$6:S291=S292)*(X$6:X291=X292)*(B$6:B291&lt;&gt;"NS"))</f>
        <v>0</v>
      </c>
      <c r="X292" s="35">
        <f t="shared" si="57"/>
        <v>56.055999999999997</v>
      </c>
      <c r="Y292" s="29">
        <v>56</v>
      </c>
      <c r="Z292" s="27"/>
      <c r="AA292" s="27"/>
      <c r="AB292" s="27"/>
      <c r="AC292" s="27"/>
      <c r="AD292" s="27"/>
      <c r="AF292" s="36">
        <v>0</v>
      </c>
      <c r="AG292" s="36">
        <v>0</v>
      </c>
      <c r="AH292" s="36">
        <v>0</v>
      </c>
      <c r="AI292" s="36">
        <v>0</v>
      </c>
      <c r="AJ292" s="37">
        <v>1</v>
      </c>
      <c r="AK292" s="67">
        <v>56.027799999999999</v>
      </c>
      <c r="AL292" s="39">
        <v>56</v>
      </c>
      <c r="AM292" s="32">
        <v>112</v>
      </c>
      <c r="AN292" s="39"/>
      <c r="AO292" s="39"/>
      <c r="AP292" s="39"/>
      <c r="AQ292" s="30"/>
      <c r="AR292" s="26"/>
      <c r="AS292" s="1"/>
    </row>
    <row r="293" spans="1:45" ht="15">
      <c r="A293" s="61">
        <v>32</v>
      </c>
      <c r="B293" s="61">
        <v>29</v>
      </c>
      <c r="C293" s="40">
        <f t="shared" si="50"/>
        <v>32</v>
      </c>
      <c r="D293" s="40">
        <f t="shared" si="50"/>
        <v>29</v>
      </c>
      <c r="E293" s="1" t="s">
        <v>906</v>
      </c>
      <c r="F293" s="29" t="s">
        <v>69</v>
      </c>
      <c r="G293" s="29">
        <v>15</v>
      </c>
      <c r="H293" s="27"/>
      <c r="I293" s="27"/>
      <c r="J293" s="27"/>
      <c r="K293" s="27"/>
      <c r="L293" s="27"/>
      <c r="M293" s="32">
        <f t="shared" si="51"/>
        <v>15</v>
      </c>
      <c r="N293" s="32" t="s">
        <v>1330</v>
      </c>
      <c r="O293" s="32"/>
      <c r="P293" s="42">
        <f t="shared" si="52"/>
        <v>14.971299999999999</v>
      </c>
      <c r="Q293" s="32">
        <f t="shared" si="53"/>
        <v>1</v>
      </c>
      <c r="R293" s="32">
        <f t="shared" ca="1" si="54"/>
        <v>0</v>
      </c>
      <c r="S293" s="33" t="s">
        <v>217</v>
      </c>
      <c r="T293" s="34">
        <f t="shared" si="55"/>
        <v>0</v>
      </c>
      <c r="U293" s="34">
        <f t="shared" ca="1" si="56"/>
        <v>0</v>
      </c>
      <c r="V293" s="34">
        <f>-SUMPRODUCT((S$6:S292=S293)*(X$6:X292=X293))</f>
        <v>0</v>
      </c>
      <c r="W293" s="34">
        <f>-SUMPRODUCT((S$6:S292=S293)*(X$6:X292=X293)*(B$6:B292&lt;&gt;"NS"))</f>
        <v>0</v>
      </c>
      <c r="X293" s="35">
        <f t="shared" si="57"/>
        <v>15.015000000000001</v>
      </c>
      <c r="Y293" s="29">
        <v>15</v>
      </c>
      <c r="Z293" s="27"/>
      <c r="AA293" s="27"/>
      <c r="AB293" s="27"/>
      <c r="AC293" s="27"/>
      <c r="AD293" s="27"/>
      <c r="AF293" s="36">
        <v>0</v>
      </c>
      <c r="AG293" s="36">
        <v>0</v>
      </c>
      <c r="AH293" s="36">
        <v>0</v>
      </c>
      <c r="AI293" s="36">
        <v>0</v>
      </c>
      <c r="AJ293" s="37">
        <v>1</v>
      </c>
      <c r="AK293" s="67">
        <v>14.986700000000001</v>
      </c>
      <c r="AL293" s="39">
        <v>15</v>
      </c>
      <c r="AM293" s="32">
        <v>30</v>
      </c>
      <c r="AN293" s="39"/>
      <c r="AO293" s="39"/>
      <c r="AP293" s="39"/>
      <c r="AQ293" s="30"/>
      <c r="AR293" s="26"/>
      <c r="AS293" s="1"/>
    </row>
    <row r="294" spans="1:45" ht="15">
      <c r="A294" s="61">
        <v>33</v>
      </c>
      <c r="B294" s="61">
        <v>30</v>
      </c>
      <c r="C294" s="40">
        <f t="shared" si="50"/>
        <v>33</v>
      </c>
      <c r="D294" s="40">
        <f t="shared" si="50"/>
        <v>30</v>
      </c>
      <c r="E294" s="1" t="s">
        <v>907</v>
      </c>
      <c r="F294" s="29" t="s">
        <v>47</v>
      </c>
      <c r="G294" s="29">
        <v>11</v>
      </c>
      <c r="H294" s="27"/>
      <c r="I294" s="27"/>
      <c r="J294" s="27"/>
      <c r="K294" s="27"/>
      <c r="L294" s="27"/>
      <c r="M294" s="32">
        <f t="shared" si="51"/>
        <v>11</v>
      </c>
      <c r="N294" s="32" t="s">
        <v>1330</v>
      </c>
      <c r="O294" s="32"/>
      <c r="P294" s="42">
        <f t="shared" si="52"/>
        <v>10.9712</v>
      </c>
      <c r="Q294" s="32">
        <f t="shared" si="53"/>
        <v>1</v>
      </c>
      <c r="R294" s="32">
        <f t="shared" ca="1" si="54"/>
        <v>0</v>
      </c>
      <c r="S294" s="33" t="s">
        <v>217</v>
      </c>
      <c r="T294" s="34">
        <f t="shared" si="55"/>
        <v>0</v>
      </c>
      <c r="U294" s="34">
        <f t="shared" ca="1" si="56"/>
        <v>0</v>
      </c>
      <c r="V294" s="34">
        <f>-SUMPRODUCT((S$6:S293=S294)*(X$6:X293=X294))</f>
        <v>0</v>
      </c>
      <c r="W294" s="34">
        <f>-SUMPRODUCT((S$6:S293=S294)*(X$6:X293=X294)*(B$6:B293&lt;&gt;"NS"))</f>
        <v>0</v>
      </c>
      <c r="X294" s="35">
        <f t="shared" si="57"/>
        <v>11.010999999999999</v>
      </c>
      <c r="Y294" s="29">
        <v>11</v>
      </c>
      <c r="Z294" s="27"/>
      <c r="AA294" s="27"/>
      <c r="AB294" s="27"/>
      <c r="AC294" s="27"/>
      <c r="AD294" s="27"/>
      <c r="AF294" s="36">
        <v>0</v>
      </c>
      <c r="AG294" s="36">
        <v>0</v>
      </c>
      <c r="AH294" s="36">
        <v>0</v>
      </c>
      <c r="AI294" s="36">
        <v>0</v>
      </c>
      <c r="AJ294" s="37">
        <v>1</v>
      </c>
      <c r="AK294" s="67">
        <v>10.9826</v>
      </c>
      <c r="AL294" s="39">
        <v>11</v>
      </c>
      <c r="AM294" s="32">
        <v>22</v>
      </c>
      <c r="AN294" s="39"/>
      <c r="AO294" s="39"/>
      <c r="AP294" s="39"/>
      <c r="AQ294" s="30"/>
      <c r="AR294" s="26"/>
      <c r="AS294" s="1"/>
    </row>
    <row r="295" spans="1:45" ht="15">
      <c r="A295" s="61">
        <v>34</v>
      </c>
      <c r="B295" s="61">
        <v>31</v>
      </c>
      <c r="C295" s="40">
        <f t="shared" si="50"/>
        <v>34</v>
      </c>
      <c r="D295" s="40">
        <f t="shared" si="50"/>
        <v>31</v>
      </c>
      <c r="E295" s="1" t="s">
        <v>908</v>
      </c>
      <c r="F295" s="29" t="s">
        <v>84</v>
      </c>
      <c r="G295" s="29">
        <v>10</v>
      </c>
      <c r="H295" s="27"/>
      <c r="I295" s="27"/>
      <c r="J295" s="27"/>
      <c r="K295" s="27"/>
      <c r="L295" s="27"/>
      <c r="M295" s="32">
        <f t="shared" si="51"/>
        <v>10</v>
      </c>
      <c r="N295" s="32" t="s">
        <v>1330</v>
      </c>
      <c r="O295" s="32"/>
      <c r="P295" s="42">
        <f t="shared" si="52"/>
        <v>9.9710999999999999</v>
      </c>
      <c r="Q295" s="32">
        <f t="shared" si="53"/>
        <v>1</v>
      </c>
      <c r="R295" s="32">
        <f t="shared" ca="1" si="54"/>
        <v>0</v>
      </c>
      <c r="S295" s="33" t="s">
        <v>217</v>
      </c>
      <c r="T295" s="34">
        <f t="shared" si="55"/>
        <v>0</v>
      </c>
      <c r="U295" s="34">
        <f t="shared" ca="1" si="56"/>
        <v>0</v>
      </c>
      <c r="V295" s="34">
        <f>-SUMPRODUCT((S$6:S294=S295)*(X$6:X294=X295))</f>
        <v>0</v>
      </c>
      <c r="W295" s="34">
        <f>-SUMPRODUCT((S$6:S294=S295)*(X$6:X294=X295)*(B$6:B294&lt;&gt;"NS"))</f>
        <v>0</v>
      </c>
      <c r="X295" s="35">
        <f t="shared" si="57"/>
        <v>10.01</v>
      </c>
      <c r="Y295" s="29">
        <v>10</v>
      </c>
      <c r="Z295" s="27"/>
      <c r="AA295" s="27"/>
      <c r="AB295" s="27"/>
      <c r="AC295" s="27"/>
      <c r="AD295" s="27"/>
      <c r="AF295" s="36">
        <v>0</v>
      </c>
      <c r="AG295" s="36">
        <v>0</v>
      </c>
      <c r="AH295" s="36">
        <v>0</v>
      </c>
      <c r="AI295" s="36">
        <v>0</v>
      </c>
      <c r="AJ295" s="37">
        <v>1</v>
      </c>
      <c r="AK295" s="67">
        <v>9.9815000000000005</v>
      </c>
      <c r="AL295" s="39">
        <v>10</v>
      </c>
      <c r="AM295" s="32">
        <v>20</v>
      </c>
      <c r="AN295" s="39"/>
      <c r="AO295" s="39"/>
      <c r="AP295" s="39"/>
      <c r="AQ295" s="30"/>
      <c r="AR295" s="26"/>
      <c r="AS295" s="1"/>
    </row>
    <row r="296" spans="1:45" ht="5.0999999999999996" customHeight="1">
      <c r="A296" s="27"/>
      <c r="B296" s="27"/>
      <c r="C296" s="27"/>
      <c r="D296" s="27"/>
      <c r="F296" s="52"/>
      <c r="G296" s="52"/>
      <c r="H296" s="52"/>
      <c r="I296" s="52"/>
      <c r="J296" s="52"/>
      <c r="K296" s="52"/>
      <c r="L296" s="52"/>
      <c r="M296" s="32"/>
      <c r="N296" s="27"/>
      <c r="O296" s="27"/>
      <c r="P296" s="42"/>
      <c r="Q296" s="27"/>
      <c r="R296" s="27"/>
      <c r="T296" s="59"/>
      <c r="U296" s="59"/>
      <c r="V296" s="59"/>
      <c r="W296" s="59"/>
      <c r="X296" s="34"/>
      <c r="Y296" s="52"/>
      <c r="Z296" s="52"/>
      <c r="AA296" s="52"/>
      <c r="AB296" s="52"/>
      <c r="AC296" s="52"/>
      <c r="AD296" s="52"/>
      <c r="AJ296" s="63"/>
      <c r="AK296" s="63"/>
      <c r="AM296" s="26"/>
      <c r="AN296" s="39"/>
      <c r="AO296" s="39"/>
      <c r="AP296" s="39"/>
      <c r="AQ296" s="30"/>
      <c r="AR296" s="26"/>
      <c r="AS296" s="1"/>
    </row>
    <row r="297" spans="1:45">
      <c r="F297" s="27"/>
      <c r="G297" s="27"/>
      <c r="H297" s="27"/>
      <c r="I297" s="27"/>
      <c r="J297" s="27"/>
      <c r="K297" s="27"/>
      <c r="L297" s="27"/>
      <c r="M297" s="32"/>
      <c r="N297" s="27"/>
      <c r="O297" s="27"/>
      <c r="P297" s="42"/>
      <c r="Q297" s="27"/>
      <c r="R297" s="27"/>
      <c r="T297" s="62"/>
      <c r="U297" s="62"/>
      <c r="V297" s="62"/>
      <c r="W297" s="62"/>
      <c r="X297" s="34"/>
      <c r="Y297" s="27"/>
      <c r="Z297" s="27"/>
      <c r="AA297" s="27"/>
      <c r="AB297" s="27"/>
      <c r="AC297" s="27"/>
      <c r="AD297" s="27"/>
      <c r="AJ297" s="63"/>
      <c r="AK297" s="63"/>
      <c r="AM297" s="26"/>
      <c r="AN297" s="39"/>
      <c r="AO297" s="39"/>
      <c r="AP297" s="39"/>
      <c r="AQ297" s="30"/>
      <c r="AR297" s="26"/>
      <c r="AS297" s="1"/>
    </row>
    <row r="298" spans="1:45" ht="15">
      <c r="A298" s="60"/>
      <c r="B298" s="60"/>
      <c r="C298" s="60"/>
      <c r="D298" s="60"/>
      <c r="E298" s="26" t="s">
        <v>260</v>
      </c>
      <c r="F298" s="27"/>
      <c r="G298" s="27"/>
      <c r="H298" s="27"/>
      <c r="I298" s="27"/>
      <c r="J298" s="27"/>
      <c r="K298" s="27"/>
      <c r="L298" s="27"/>
      <c r="M298" s="32"/>
      <c r="N298" s="27"/>
      <c r="O298" s="27"/>
      <c r="P298" s="42"/>
      <c r="Q298" s="27"/>
      <c r="R298" s="27"/>
      <c r="S298" s="52" t="str">
        <f>E298</f>
        <v>F65</v>
      </c>
      <c r="T298" s="59"/>
      <c r="U298" s="59"/>
      <c r="V298" s="59"/>
      <c r="W298" s="59"/>
      <c r="X298" s="34"/>
      <c r="Y298" s="27"/>
      <c r="Z298" s="52"/>
      <c r="AA298" s="52"/>
      <c r="AB298" s="52"/>
      <c r="AC298" s="52"/>
      <c r="AD298" s="52"/>
      <c r="AJ298" s="63"/>
      <c r="AK298" s="63"/>
      <c r="AM298" s="26"/>
      <c r="AN298" s="39">
        <v>428</v>
      </c>
      <c r="AO298" s="39">
        <v>380</v>
      </c>
      <c r="AP298" s="39">
        <v>372</v>
      </c>
      <c r="AQ298" s="30"/>
      <c r="AR298" s="26"/>
      <c r="AS298" s="1"/>
    </row>
    <row r="299" spans="1:45" ht="15">
      <c r="A299" s="61">
        <v>1</v>
      </c>
      <c r="B299" s="61">
        <v>1</v>
      </c>
      <c r="C299" s="40">
        <f t="shared" ref="C299:D307" si="58">IF(OR(V299&lt;0,V300&lt;0),"="&amp;A299+V299&amp;" ",A299)</f>
        <v>1</v>
      </c>
      <c r="D299" s="40">
        <f t="shared" si="58"/>
        <v>1</v>
      </c>
      <c r="E299" s="1" t="s">
        <v>259</v>
      </c>
      <c r="F299" s="29" t="s">
        <v>66</v>
      </c>
      <c r="G299" s="29">
        <v>91</v>
      </c>
      <c r="H299" s="27"/>
      <c r="I299" s="27">
        <v>136</v>
      </c>
      <c r="J299" s="27">
        <v>145</v>
      </c>
      <c r="K299" s="27">
        <v>161</v>
      </c>
      <c r="L299" s="27"/>
      <c r="M299" s="32">
        <f t="shared" ref="M299:M307" si="59">IFERROR(LARGE(G299:L299,1),0)+IF($F$5&gt;=2,IFERROR(LARGE(G299:L299,2),0),0)+IF($F$5&gt;=3,IFERROR(LARGE(G299:L299,3),0),0)+IF($F$5&gt;=4,IFERROR(LARGE(G299:L299,4),0),0)+IF($F$5&gt;=5,IFERROR(LARGE(G299:L299,5),0),0)+IF($F$5&gt;=6,IFERROR(LARGE(G299:L299,6),0),0)</f>
        <v>442</v>
      </c>
      <c r="N299" s="32" t="s">
        <v>1330</v>
      </c>
      <c r="O299" s="32" t="s">
        <v>909</v>
      </c>
      <c r="P299" s="42">
        <f t="shared" ref="P299:P307" si="60">M299-(ROW(M299)-ROW(M$6))/10000</f>
        <v>441.97070000000002</v>
      </c>
      <c r="Q299" s="32">
        <f t="shared" ref="Q299:Q307" si="61">COUNT(G299:L299)</f>
        <v>4</v>
      </c>
      <c r="R299" s="32">
        <f t="shared" ref="R299:R307" ca="1" si="62">IF(AND(Q299=1,OFFSET(F299,0,R$3)&gt;0),"Y",0)</f>
        <v>0</v>
      </c>
      <c r="S299" s="33" t="s">
        <v>260</v>
      </c>
      <c r="T299" s="34">
        <f t="shared" ref="T299:T307" si="63">1-(S299=S298)</f>
        <v>0</v>
      </c>
      <c r="U299" s="34">
        <f t="shared" ref="U299:U307" ca="1" si="64">OFFSET(F299,0,$R$3)</f>
        <v>161</v>
      </c>
      <c r="V299" s="34">
        <f>-SUMPRODUCT((S$6:S298=S299)*(X$6:X298=X299))</f>
        <v>0</v>
      </c>
      <c r="W299" s="34">
        <f>-SUMPRODUCT((S$6:S298=S299)*(X$6:X298=X299)*(B$6:B298&lt;&gt;"NS"))</f>
        <v>0</v>
      </c>
      <c r="X299" s="35">
        <f t="shared" ref="X299:X307" si="65">M299+SUMPRODUCT(Y$4:AD$4,Y299:AD299)</f>
        <v>442.17685999999998</v>
      </c>
      <c r="Y299" s="27">
        <v>161</v>
      </c>
      <c r="Z299" s="27">
        <v>145</v>
      </c>
      <c r="AA299" s="27">
        <v>136</v>
      </c>
      <c r="AB299" s="29">
        <v>91</v>
      </c>
      <c r="AC299" s="27"/>
      <c r="AD299" s="27"/>
      <c r="AF299" s="36">
        <v>0</v>
      </c>
      <c r="AG299" s="36">
        <v>0</v>
      </c>
      <c r="AH299" s="36">
        <v>0</v>
      </c>
      <c r="AI299" s="36">
        <v>0</v>
      </c>
      <c r="AJ299" s="37">
        <v>3</v>
      </c>
      <c r="AK299" s="67">
        <v>372.06348599999995</v>
      </c>
      <c r="AL299" s="39">
        <v>145</v>
      </c>
      <c r="AM299" s="32">
        <v>426</v>
      </c>
      <c r="AN299" s="39"/>
      <c r="AO299" s="39" t="s">
        <v>910</v>
      </c>
      <c r="AP299" s="39" t="s">
        <v>911</v>
      </c>
      <c r="AQ299" s="30"/>
      <c r="AR299" s="26"/>
      <c r="AS299" s="1"/>
    </row>
    <row r="300" spans="1:45" ht="15">
      <c r="A300" s="61">
        <v>2</v>
      </c>
      <c r="B300" s="61">
        <v>2</v>
      </c>
      <c r="C300" s="40">
        <f t="shared" si="58"/>
        <v>2</v>
      </c>
      <c r="D300" s="40">
        <f t="shared" si="58"/>
        <v>2</v>
      </c>
      <c r="E300" s="1" t="s">
        <v>912</v>
      </c>
      <c r="F300" s="29" t="s">
        <v>53</v>
      </c>
      <c r="G300" s="29">
        <v>157</v>
      </c>
      <c r="H300" s="27">
        <v>161</v>
      </c>
      <c r="I300" s="27"/>
      <c r="J300" s="27">
        <v>110</v>
      </c>
      <c r="K300" s="27"/>
      <c r="L300" s="27"/>
      <c r="M300" s="32">
        <f t="shared" si="59"/>
        <v>428</v>
      </c>
      <c r="N300" s="32" t="s">
        <v>1330</v>
      </c>
      <c r="O300" s="32" t="s">
        <v>910</v>
      </c>
      <c r="P300" s="42">
        <f t="shared" si="60"/>
        <v>427.97059999999999</v>
      </c>
      <c r="Q300" s="32">
        <f t="shared" si="61"/>
        <v>3</v>
      </c>
      <c r="R300" s="32">
        <f t="shared" ca="1" si="62"/>
        <v>0</v>
      </c>
      <c r="S300" s="33" t="s">
        <v>260</v>
      </c>
      <c r="T300" s="34">
        <f t="shared" si="63"/>
        <v>0</v>
      </c>
      <c r="U300" s="34">
        <f t="shared" ca="1" si="64"/>
        <v>0</v>
      </c>
      <c r="V300" s="34">
        <f>-SUMPRODUCT((S$6:S299=S300)*(X$6:X299=X300))</f>
        <v>0</v>
      </c>
      <c r="W300" s="34">
        <f>-SUMPRODUCT((S$6:S299=S300)*(X$6:X299=X300)*(B$6:B299&lt;&gt;"NS"))</f>
        <v>0</v>
      </c>
      <c r="X300" s="35">
        <f t="shared" si="65"/>
        <v>428.17779999999999</v>
      </c>
      <c r="Y300" s="27">
        <v>161</v>
      </c>
      <c r="Z300" s="29">
        <v>157</v>
      </c>
      <c r="AA300" s="27">
        <v>110</v>
      </c>
      <c r="AB300" s="27"/>
      <c r="AC300" s="27"/>
      <c r="AD300" s="27"/>
      <c r="AF300" s="36">
        <v>0</v>
      </c>
      <c r="AG300" s="36">
        <v>0</v>
      </c>
      <c r="AH300" s="36">
        <v>0</v>
      </c>
      <c r="AI300" s="36">
        <v>0</v>
      </c>
      <c r="AJ300" s="37">
        <v>3</v>
      </c>
      <c r="AK300" s="67">
        <v>428.14529999999996</v>
      </c>
      <c r="AL300" s="39">
        <v>161</v>
      </c>
      <c r="AM300" s="32">
        <v>479</v>
      </c>
      <c r="AN300" s="39" t="s">
        <v>909</v>
      </c>
      <c r="AO300" s="39"/>
      <c r="AP300" s="39"/>
      <c r="AQ300" s="30"/>
      <c r="AR300" s="26"/>
      <c r="AS300" s="1"/>
    </row>
    <row r="301" spans="1:45" ht="15">
      <c r="A301" s="61">
        <v>3</v>
      </c>
      <c r="B301" s="61">
        <v>3</v>
      </c>
      <c r="C301" s="40">
        <f t="shared" si="58"/>
        <v>3</v>
      </c>
      <c r="D301" s="40">
        <f t="shared" si="58"/>
        <v>3</v>
      </c>
      <c r="E301" s="1" t="s">
        <v>282</v>
      </c>
      <c r="F301" s="29" t="s">
        <v>88</v>
      </c>
      <c r="G301" s="29"/>
      <c r="H301" s="27">
        <v>100</v>
      </c>
      <c r="I301" s="27">
        <v>122</v>
      </c>
      <c r="J301" s="27">
        <v>128</v>
      </c>
      <c r="K301" s="27">
        <v>154</v>
      </c>
      <c r="L301" s="27"/>
      <c r="M301" s="32">
        <f t="shared" si="59"/>
        <v>404</v>
      </c>
      <c r="N301" s="32" t="s">
        <v>1330</v>
      </c>
      <c r="O301" s="32" t="s">
        <v>911</v>
      </c>
      <c r="P301" s="42">
        <f t="shared" si="60"/>
        <v>403.97050000000002</v>
      </c>
      <c r="Q301" s="32">
        <f t="shared" si="61"/>
        <v>4</v>
      </c>
      <c r="R301" s="32">
        <f t="shared" ca="1" si="62"/>
        <v>0</v>
      </c>
      <c r="S301" s="33" t="s">
        <v>260</v>
      </c>
      <c r="T301" s="34">
        <f t="shared" si="63"/>
        <v>0</v>
      </c>
      <c r="U301" s="34">
        <f t="shared" ca="1" si="64"/>
        <v>154</v>
      </c>
      <c r="V301" s="34">
        <f>-SUMPRODUCT((S$6:S300=S301)*(X$6:X300=X301))</f>
        <v>0</v>
      </c>
      <c r="W301" s="34">
        <f>-SUMPRODUCT((S$6:S300=S301)*(X$6:X300=X301)*(B$6:B300&lt;&gt;"NS"))</f>
        <v>0</v>
      </c>
      <c r="X301" s="35">
        <f t="shared" si="65"/>
        <v>404.16802000000001</v>
      </c>
      <c r="Y301" s="27">
        <v>154</v>
      </c>
      <c r="Z301" s="27">
        <v>128</v>
      </c>
      <c r="AA301" s="27">
        <v>122</v>
      </c>
      <c r="AB301" s="27">
        <v>100</v>
      </c>
      <c r="AC301" s="29"/>
      <c r="AD301" s="27"/>
      <c r="AF301" s="36">
        <v>0</v>
      </c>
      <c r="AG301" s="36">
        <v>0</v>
      </c>
      <c r="AH301" s="36">
        <v>0</v>
      </c>
      <c r="AI301" s="36">
        <v>0</v>
      </c>
      <c r="AJ301" s="37">
        <v>3</v>
      </c>
      <c r="AK301" s="67">
        <v>349.98220199999997</v>
      </c>
      <c r="AL301" s="39">
        <v>128</v>
      </c>
      <c r="AM301" s="32">
        <v>378</v>
      </c>
      <c r="AN301" s="39"/>
      <c r="AO301" s="39"/>
      <c r="AP301" s="39" t="s">
        <v>911</v>
      </c>
      <c r="AQ301" s="30"/>
      <c r="AR301" s="26"/>
      <c r="AS301" s="1"/>
    </row>
    <row r="302" spans="1:45" ht="15">
      <c r="A302" s="61">
        <v>4</v>
      </c>
      <c r="B302" s="61">
        <v>4</v>
      </c>
      <c r="C302" s="40">
        <f t="shared" si="58"/>
        <v>4</v>
      </c>
      <c r="D302" s="40">
        <f t="shared" si="58"/>
        <v>4</v>
      </c>
      <c r="E302" s="1" t="s">
        <v>913</v>
      </c>
      <c r="F302" s="29" t="s">
        <v>38</v>
      </c>
      <c r="G302" s="29">
        <v>109</v>
      </c>
      <c r="H302" s="27"/>
      <c r="I302" s="27">
        <v>130</v>
      </c>
      <c r="J302" s="27">
        <v>141</v>
      </c>
      <c r="K302" s="27"/>
      <c r="L302" s="27"/>
      <c r="M302" s="32">
        <f t="shared" si="59"/>
        <v>380</v>
      </c>
      <c r="N302" s="32" t="s">
        <v>1330</v>
      </c>
      <c r="O302" s="32"/>
      <c r="P302" s="42">
        <f t="shared" si="60"/>
        <v>379.97039999999998</v>
      </c>
      <c r="Q302" s="32">
        <f t="shared" si="61"/>
        <v>3</v>
      </c>
      <c r="R302" s="32">
        <f t="shared" ca="1" si="62"/>
        <v>0</v>
      </c>
      <c r="S302" s="33" t="s">
        <v>260</v>
      </c>
      <c r="T302" s="34">
        <f t="shared" si="63"/>
        <v>0</v>
      </c>
      <c r="U302" s="34">
        <f t="shared" ca="1" si="64"/>
        <v>0</v>
      </c>
      <c r="V302" s="34">
        <f>-SUMPRODUCT((S$6:S301=S302)*(X$6:X301=X302))</f>
        <v>0</v>
      </c>
      <c r="W302" s="34">
        <f>-SUMPRODUCT((S$6:S301=S302)*(X$6:X301=X302)*(B$6:B301&lt;&gt;"NS"))</f>
        <v>0</v>
      </c>
      <c r="X302" s="35">
        <f t="shared" si="65"/>
        <v>380.15508999999997</v>
      </c>
      <c r="Y302" s="27">
        <v>141</v>
      </c>
      <c r="Z302" s="27">
        <v>130</v>
      </c>
      <c r="AA302" s="29">
        <v>109</v>
      </c>
      <c r="AB302" s="27"/>
      <c r="AC302" s="27"/>
      <c r="AD302" s="27"/>
      <c r="AF302" s="36">
        <v>0</v>
      </c>
      <c r="AG302" s="36">
        <v>0</v>
      </c>
      <c r="AH302" s="36">
        <v>0</v>
      </c>
      <c r="AI302" s="36">
        <v>0</v>
      </c>
      <c r="AJ302" s="37">
        <v>3</v>
      </c>
      <c r="AK302" s="67">
        <v>380.08154000000002</v>
      </c>
      <c r="AL302" s="39">
        <v>141</v>
      </c>
      <c r="AM302" s="32">
        <v>412</v>
      </c>
      <c r="AN302" s="39"/>
      <c r="AO302" s="39" t="s">
        <v>910</v>
      </c>
      <c r="AP302" s="39" t="s">
        <v>911</v>
      </c>
      <c r="AQ302" s="30"/>
      <c r="AR302" s="26"/>
      <c r="AS302" s="1"/>
    </row>
    <row r="303" spans="1:45" ht="15">
      <c r="A303" s="61">
        <v>5</v>
      </c>
      <c r="B303" s="61">
        <v>5</v>
      </c>
      <c r="C303" s="40">
        <f t="shared" si="58"/>
        <v>5</v>
      </c>
      <c r="D303" s="40">
        <f t="shared" si="58"/>
        <v>5</v>
      </c>
      <c r="E303" s="1" t="s">
        <v>914</v>
      </c>
      <c r="F303" s="29" t="s">
        <v>25</v>
      </c>
      <c r="G303" s="29">
        <v>111</v>
      </c>
      <c r="H303" s="27"/>
      <c r="I303" s="27">
        <v>132</v>
      </c>
      <c r="J303" s="27"/>
      <c r="K303" s="27"/>
      <c r="L303" s="27"/>
      <c r="M303" s="32">
        <f t="shared" si="59"/>
        <v>243</v>
      </c>
      <c r="N303" s="32" t="s">
        <v>1330</v>
      </c>
      <c r="O303" s="32"/>
      <c r="P303" s="42">
        <f t="shared" si="60"/>
        <v>242.97030000000001</v>
      </c>
      <c r="Q303" s="32">
        <f t="shared" si="61"/>
        <v>2</v>
      </c>
      <c r="R303" s="32">
        <f t="shared" ca="1" si="62"/>
        <v>0</v>
      </c>
      <c r="S303" s="33" t="s">
        <v>260</v>
      </c>
      <c r="T303" s="34">
        <f t="shared" si="63"/>
        <v>0</v>
      </c>
      <c r="U303" s="34">
        <f t="shared" ca="1" si="64"/>
        <v>0</v>
      </c>
      <c r="V303" s="34">
        <f>-SUMPRODUCT((S$6:S302=S303)*(X$6:X302=X303))</f>
        <v>0</v>
      </c>
      <c r="W303" s="34">
        <f>-SUMPRODUCT((S$6:S302=S303)*(X$6:X302=X303)*(B$6:B302&lt;&gt;"NS"))</f>
        <v>0</v>
      </c>
      <c r="X303" s="35">
        <f t="shared" si="65"/>
        <v>243.1431</v>
      </c>
      <c r="Y303" s="27">
        <v>132</v>
      </c>
      <c r="Z303" s="29">
        <v>111</v>
      </c>
      <c r="AA303" s="27"/>
      <c r="AB303" s="27"/>
      <c r="AC303" s="27"/>
      <c r="AD303" s="27"/>
      <c r="AF303" s="36">
        <v>0</v>
      </c>
      <c r="AG303" s="36">
        <v>0</v>
      </c>
      <c r="AH303" s="36">
        <v>0</v>
      </c>
      <c r="AI303" s="36">
        <v>0</v>
      </c>
      <c r="AJ303" s="37">
        <v>2</v>
      </c>
      <c r="AK303" s="67">
        <v>243.08301999999998</v>
      </c>
      <c r="AL303" s="39">
        <v>132</v>
      </c>
      <c r="AM303" s="32">
        <v>375</v>
      </c>
      <c r="AN303" s="39"/>
      <c r="AO303" s="39"/>
      <c r="AP303" s="39" t="s">
        <v>911</v>
      </c>
      <c r="AQ303" s="30"/>
      <c r="AR303" s="26"/>
      <c r="AS303" s="1"/>
    </row>
    <row r="304" spans="1:45" ht="15">
      <c r="A304" s="61">
        <v>6</v>
      </c>
      <c r="B304" s="61">
        <v>6</v>
      </c>
      <c r="C304" s="40">
        <f t="shared" si="58"/>
        <v>6</v>
      </c>
      <c r="D304" s="40">
        <f t="shared" si="58"/>
        <v>6</v>
      </c>
      <c r="E304" s="1" t="s">
        <v>915</v>
      </c>
      <c r="F304" s="29" t="s">
        <v>66</v>
      </c>
      <c r="G304" s="29">
        <v>85</v>
      </c>
      <c r="H304" s="27"/>
      <c r="I304" s="27">
        <v>86</v>
      </c>
      <c r="J304" s="27"/>
      <c r="K304" s="27"/>
      <c r="L304" s="27"/>
      <c r="M304" s="32">
        <f t="shared" si="59"/>
        <v>171</v>
      </c>
      <c r="N304" s="32" t="s">
        <v>1330</v>
      </c>
      <c r="O304" s="32"/>
      <c r="P304" s="42">
        <f t="shared" si="60"/>
        <v>170.97020000000001</v>
      </c>
      <c r="Q304" s="32">
        <f t="shared" si="61"/>
        <v>2</v>
      </c>
      <c r="R304" s="32">
        <f t="shared" ca="1" si="62"/>
        <v>0</v>
      </c>
      <c r="S304" s="33" t="s">
        <v>260</v>
      </c>
      <c r="T304" s="34">
        <f t="shared" si="63"/>
        <v>0</v>
      </c>
      <c r="U304" s="34">
        <f t="shared" ca="1" si="64"/>
        <v>0</v>
      </c>
      <c r="V304" s="34">
        <f>-SUMPRODUCT((S$6:S303=S304)*(X$6:X303=X304))</f>
        <v>0</v>
      </c>
      <c r="W304" s="34">
        <f>-SUMPRODUCT((S$6:S303=S304)*(X$6:X303=X304)*(B$6:B303&lt;&gt;"NS"))</f>
        <v>0</v>
      </c>
      <c r="X304" s="35">
        <f t="shared" si="65"/>
        <v>171.09450000000001</v>
      </c>
      <c r="Y304" s="27">
        <v>86</v>
      </c>
      <c r="Z304" s="29">
        <v>85</v>
      </c>
      <c r="AA304" s="27"/>
      <c r="AB304" s="27"/>
      <c r="AC304" s="27"/>
      <c r="AD304" s="27"/>
      <c r="AF304" s="36">
        <v>0</v>
      </c>
      <c r="AG304" s="36">
        <v>0</v>
      </c>
      <c r="AH304" s="36">
        <v>0</v>
      </c>
      <c r="AI304" s="36">
        <v>0</v>
      </c>
      <c r="AJ304" s="37">
        <v>2</v>
      </c>
      <c r="AK304" s="67">
        <v>171.05645999999999</v>
      </c>
      <c r="AL304" s="39">
        <v>86</v>
      </c>
      <c r="AM304" s="32">
        <v>257</v>
      </c>
      <c r="AN304" s="39"/>
      <c r="AO304" s="39"/>
      <c r="AP304" s="39"/>
      <c r="AQ304" s="30"/>
      <c r="AR304" s="26"/>
      <c r="AS304" s="1"/>
    </row>
    <row r="305" spans="1:45" ht="15">
      <c r="A305" s="61">
        <v>7</v>
      </c>
      <c r="B305" s="61">
        <v>7</v>
      </c>
      <c r="C305" s="40">
        <f t="shared" si="58"/>
        <v>7</v>
      </c>
      <c r="D305" s="40">
        <f t="shared" si="58"/>
        <v>7</v>
      </c>
      <c r="E305" s="1" t="s">
        <v>916</v>
      </c>
      <c r="F305" s="29" t="s">
        <v>93</v>
      </c>
      <c r="G305" s="29"/>
      <c r="H305" s="27"/>
      <c r="I305" s="27"/>
      <c r="J305" s="27">
        <v>153</v>
      </c>
      <c r="K305" s="27"/>
      <c r="L305" s="27"/>
      <c r="M305" s="32">
        <f t="shared" si="59"/>
        <v>153</v>
      </c>
      <c r="N305" s="32" t="s">
        <v>1330</v>
      </c>
      <c r="O305" s="32"/>
      <c r="P305" s="42">
        <f t="shared" si="60"/>
        <v>152.9701</v>
      </c>
      <c r="Q305" s="32">
        <f t="shared" si="61"/>
        <v>1</v>
      </c>
      <c r="R305" s="32">
        <f t="shared" ca="1" si="62"/>
        <v>0</v>
      </c>
      <c r="S305" s="33" t="s">
        <v>260</v>
      </c>
      <c r="T305" s="34">
        <f t="shared" si="63"/>
        <v>0</v>
      </c>
      <c r="U305" s="34">
        <f t="shared" ca="1" si="64"/>
        <v>0</v>
      </c>
      <c r="V305" s="34">
        <f>-SUMPRODUCT((S$6:S304=S305)*(X$6:X304=X305))</f>
        <v>0</v>
      </c>
      <c r="W305" s="34">
        <f>-SUMPRODUCT((S$6:S304=S305)*(X$6:X304=X305)*(B$6:B304&lt;&gt;"NS"))</f>
        <v>0</v>
      </c>
      <c r="X305" s="35">
        <f t="shared" si="65"/>
        <v>153.15299999999999</v>
      </c>
      <c r="Y305" s="27">
        <v>153</v>
      </c>
      <c r="Z305" s="29"/>
      <c r="AA305" s="27"/>
      <c r="AB305" s="27"/>
      <c r="AC305" s="27"/>
      <c r="AD305" s="27"/>
      <c r="AF305" s="36">
        <v>0</v>
      </c>
      <c r="AG305" s="36">
        <v>0</v>
      </c>
      <c r="AH305" s="36">
        <v>0</v>
      </c>
      <c r="AI305" s="36">
        <v>0</v>
      </c>
      <c r="AJ305" s="37">
        <v>1</v>
      </c>
      <c r="AK305" s="67">
        <v>152.97202999999999</v>
      </c>
      <c r="AL305" s="39">
        <v>153</v>
      </c>
      <c r="AM305" s="32">
        <v>306</v>
      </c>
      <c r="AN305" s="39"/>
      <c r="AO305" s="39"/>
      <c r="AP305" s="39"/>
      <c r="AQ305" s="30"/>
      <c r="AR305" s="26"/>
      <c r="AS305" s="1"/>
    </row>
    <row r="306" spans="1:45" ht="15">
      <c r="A306" s="61">
        <v>8</v>
      </c>
      <c r="B306" s="61">
        <v>8</v>
      </c>
      <c r="C306" s="40">
        <f t="shared" si="58"/>
        <v>8</v>
      </c>
      <c r="D306" s="40">
        <f t="shared" si="58"/>
        <v>8</v>
      </c>
      <c r="E306" s="1" t="s">
        <v>917</v>
      </c>
      <c r="F306" s="29" t="s">
        <v>53</v>
      </c>
      <c r="G306" s="29">
        <v>90</v>
      </c>
      <c r="H306" s="27"/>
      <c r="I306" s="27"/>
      <c r="J306" s="27"/>
      <c r="K306" s="27"/>
      <c r="L306" s="27"/>
      <c r="M306" s="32">
        <f t="shared" si="59"/>
        <v>90</v>
      </c>
      <c r="N306" s="32" t="s">
        <v>1330</v>
      </c>
      <c r="O306" s="32"/>
      <c r="P306" s="42">
        <f t="shared" si="60"/>
        <v>89.97</v>
      </c>
      <c r="Q306" s="32">
        <f t="shared" si="61"/>
        <v>1</v>
      </c>
      <c r="R306" s="32">
        <f t="shared" ca="1" si="62"/>
        <v>0</v>
      </c>
      <c r="S306" s="33" t="s">
        <v>260</v>
      </c>
      <c r="T306" s="34">
        <f t="shared" si="63"/>
        <v>0</v>
      </c>
      <c r="U306" s="34">
        <f t="shared" ca="1" si="64"/>
        <v>0</v>
      </c>
      <c r="V306" s="34">
        <f>-SUMPRODUCT((S$6:S305=S306)*(X$6:X305=X306))</f>
        <v>0</v>
      </c>
      <c r="W306" s="34">
        <f>-SUMPRODUCT((S$6:S305=S306)*(X$6:X305=X306)*(B$6:B305&lt;&gt;"NS"))</f>
        <v>0</v>
      </c>
      <c r="X306" s="35">
        <f t="shared" si="65"/>
        <v>90.09</v>
      </c>
      <c r="Y306" s="29">
        <v>90</v>
      </c>
      <c r="Z306" s="27"/>
      <c r="AA306" s="27"/>
      <c r="AB306" s="27"/>
      <c r="AC306" s="27"/>
      <c r="AD306" s="27"/>
      <c r="AF306" s="36">
        <v>0</v>
      </c>
      <c r="AG306" s="36">
        <v>0</v>
      </c>
      <c r="AH306" s="36">
        <v>0</v>
      </c>
      <c r="AI306" s="36">
        <v>0</v>
      </c>
      <c r="AJ306" s="37">
        <v>1</v>
      </c>
      <c r="AK306" s="67">
        <v>90.060400000000001</v>
      </c>
      <c r="AL306" s="39">
        <v>90</v>
      </c>
      <c r="AM306" s="32">
        <v>180</v>
      </c>
      <c r="AN306" s="39"/>
      <c r="AO306" s="39"/>
      <c r="AP306" s="39"/>
      <c r="AQ306" s="30"/>
      <c r="AR306" s="26"/>
      <c r="AS306" s="1"/>
    </row>
    <row r="307" spans="1:45" ht="15">
      <c r="A307" s="61">
        <v>9</v>
      </c>
      <c r="B307" s="61">
        <v>9</v>
      </c>
      <c r="C307" s="40">
        <f t="shared" si="58"/>
        <v>9</v>
      </c>
      <c r="D307" s="40">
        <f t="shared" si="58"/>
        <v>9</v>
      </c>
      <c r="E307" s="1" t="s">
        <v>918</v>
      </c>
      <c r="F307" s="29" t="s">
        <v>50</v>
      </c>
      <c r="G307" s="29">
        <v>57</v>
      </c>
      <c r="H307" s="27"/>
      <c r="I307" s="27"/>
      <c r="J307" s="27"/>
      <c r="K307" s="27"/>
      <c r="L307" s="27"/>
      <c r="M307" s="32">
        <f t="shared" si="59"/>
        <v>57</v>
      </c>
      <c r="N307" s="32" t="s">
        <v>1330</v>
      </c>
      <c r="O307" s="32"/>
      <c r="P307" s="42">
        <f t="shared" si="60"/>
        <v>56.969900000000003</v>
      </c>
      <c r="Q307" s="32">
        <f t="shared" si="61"/>
        <v>1</v>
      </c>
      <c r="R307" s="32">
        <f t="shared" ca="1" si="62"/>
        <v>0</v>
      </c>
      <c r="S307" s="33" t="s">
        <v>260</v>
      </c>
      <c r="T307" s="34">
        <f t="shared" si="63"/>
        <v>0</v>
      </c>
      <c r="U307" s="34">
        <f t="shared" ca="1" si="64"/>
        <v>0</v>
      </c>
      <c r="V307" s="34">
        <f>-SUMPRODUCT((S$6:S306=S307)*(X$6:X306=X307))</f>
        <v>0</v>
      </c>
      <c r="W307" s="34">
        <f>-SUMPRODUCT((S$6:S306=S307)*(X$6:X306=X307)*(B$6:B306&lt;&gt;"NS"))</f>
        <v>0</v>
      </c>
      <c r="X307" s="35">
        <f t="shared" si="65"/>
        <v>57.057000000000002</v>
      </c>
      <c r="Y307" s="29">
        <v>57</v>
      </c>
      <c r="Z307" s="27"/>
      <c r="AA307" s="27"/>
      <c r="AB307" s="27"/>
      <c r="AC307" s="27"/>
      <c r="AD307" s="27"/>
      <c r="AF307" s="36">
        <v>0</v>
      </c>
      <c r="AG307" s="36">
        <v>0</v>
      </c>
      <c r="AH307" s="36">
        <v>0</v>
      </c>
      <c r="AI307" s="36">
        <v>0</v>
      </c>
      <c r="AJ307" s="37">
        <v>1</v>
      </c>
      <c r="AK307" s="67">
        <v>57.027300000000004</v>
      </c>
      <c r="AL307" s="39">
        <v>57</v>
      </c>
      <c r="AM307" s="32">
        <v>114</v>
      </c>
      <c r="AN307" s="39"/>
      <c r="AO307" s="39"/>
      <c r="AP307" s="39"/>
      <c r="AQ307" s="30"/>
      <c r="AR307" s="26"/>
      <c r="AS307" s="1"/>
    </row>
    <row r="308" spans="1:45" ht="3" customHeight="1">
      <c r="F308" s="52"/>
      <c r="G308" s="52"/>
      <c r="H308" s="52"/>
      <c r="I308" s="52"/>
      <c r="J308" s="52"/>
      <c r="K308" s="52"/>
      <c r="L308" s="52"/>
      <c r="M308" s="32"/>
      <c r="N308" s="27"/>
      <c r="O308" s="27"/>
      <c r="P308" s="42"/>
      <c r="Q308" s="27"/>
      <c r="R308" s="27"/>
      <c r="T308" s="59"/>
      <c r="U308" s="59"/>
      <c r="V308" s="59"/>
      <c r="W308" s="59"/>
      <c r="X308" s="34"/>
      <c r="Y308" s="52"/>
      <c r="Z308" s="52"/>
      <c r="AA308" s="52"/>
      <c r="AB308" s="52"/>
      <c r="AC308" s="52"/>
      <c r="AD308" s="52"/>
      <c r="AJ308" s="63"/>
      <c r="AK308" s="63"/>
      <c r="AM308" s="26"/>
      <c r="AN308" s="39"/>
      <c r="AO308" s="39"/>
      <c r="AP308" s="39"/>
      <c r="AQ308" s="30"/>
      <c r="AR308" s="26"/>
      <c r="AS308" s="1"/>
    </row>
    <row r="309" spans="1:45">
      <c r="F309" s="27"/>
      <c r="G309" s="27"/>
      <c r="H309" s="27"/>
      <c r="I309" s="27"/>
      <c r="J309" s="27"/>
      <c r="K309" s="27"/>
      <c r="L309" s="27"/>
      <c r="M309" s="32"/>
      <c r="N309" s="27"/>
      <c r="O309" s="27"/>
      <c r="P309" s="42"/>
      <c r="Q309" s="27"/>
      <c r="R309" s="27"/>
      <c r="T309" s="62"/>
      <c r="U309" s="62"/>
      <c r="V309" s="62"/>
      <c r="W309" s="62"/>
      <c r="X309" s="34"/>
      <c r="Y309" s="27"/>
      <c r="Z309" s="27"/>
      <c r="AA309" s="27"/>
      <c r="AB309" s="27"/>
      <c r="AC309" s="27"/>
      <c r="AD309" s="27"/>
      <c r="AJ309" s="63"/>
      <c r="AK309" s="63"/>
      <c r="AM309" s="26"/>
      <c r="AN309" s="39"/>
      <c r="AO309" s="39"/>
      <c r="AP309" s="39"/>
      <c r="AQ309" s="30"/>
      <c r="AR309" s="26"/>
      <c r="AS309" s="1"/>
    </row>
    <row r="310" spans="1:45" ht="15">
      <c r="A310" s="60"/>
      <c r="B310" s="60"/>
      <c r="C310" s="60"/>
      <c r="D310" s="60"/>
      <c r="E310" s="26" t="s">
        <v>279</v>
      </c>
      <c r="F310" s="27"/>
      <c r="G310" s="27"/>
      <c r="H310" s="27"/>
      <c r="I310" s="27"/>
      <c r="J310" s="27"/>
      <c r="K310" s="27"/>
      <c r="L310" s="27"/>
      <c r="M310" s="32"/>
      <c r="N310" s="27"/>
      <c r="O310" s="27"/>
      <c r="P310" s="42"/>
      <c r="Q310" s="27"/>
      <c r="R310" s="27"/>
      <c r="S310" s="52" t="str">
        <f>E310</f>
        <v>F70</v>
      </c>
      <c r="T310" s="59"/>
      <c r="U310" s="59"/>
      <c r="V310" s="59"/>
      <c r="W310" s="59"/>
      <c r="X310" s="34"/>
      <c r="Y310" s="27"/>
      <c r="Z310" s="52"/>
      <c r="AA310" s="52"/>
      <c r="AB310" s="52"/>
      <c r="AC310" s="52"/>
      <c r="AD310" s="52"/>
      <c r="AJ310" s="63"/>
      <c r="AK310" s="63"/>
      <c r="AM310" s="26"/>
      <c r="AN310" s="39">
        <v>361</v>
      </c>
      <c r="AO310" s="39">
        <v>285</v>
      </c>
      <c r="AP310" s="39">
        <v>280</v>
      </c>
      <c r="AQ310" s="30"/>
      <c r="AR310" s="26"/>
      <c r="AS310" s="1"/>
    </row>
    <row r="311" spans="1:45" ht="15">
      <c r="A311" s="61">
        <v>1</v>
      </c>
      <c r="B311" s="61">
        <v>1</v>
      </c>
      <c r="C311" s="40">
        <f t="shared" ref="C311:D316" si="66">IF(OR(V311&lt;0,V312&lt;0),"="&amp;A311+V311&amp;" ",A311)</f>
        <v>1</v>
      </c>
      <c r="D311" s="40">
        <f t="shared" si="66"/>
        <v>1</v>
      </c>
      <c r="E311" s="1" t="s">
        <v>278</v>
      </c>
      <c r="F311" s="29" t="s">
        <v>118</v>
      </c>
      <c r="G311" s="29">
        <v>102</v>
      </c>
      <c r="H311" s="27">
        <v>111</v>
      </c>
      <c r="I311" s="27">
        <v>117</v>
      </c>
      <c r="J311" s="27">
        <v>133</v>
      </c>
      <c r="K311" s="27">
        <v>155</v>
      </c>
      <c r="L311" s="27"/>
      <c r="M311" s="32">
        <f t="shared" ref="M311:M316" si="67">IFERROR(LARGE(G311:L311,1),0)+IF($F$5&gt;=2,IFERROR(LARGE(G311:L311,2),0),0)+IF($F$5&gt;=3,IFERROR(LARGE(G311:L311,3),0),0)+IF($F$5&gt;=4,IFERROR(LARGE(G311:L311,4),0),0)+IF($F$5&gt;=5,IFERROR(LARGE(G311:L311,5),0),0)+IF($F$5&gt;=6,IFERROR(LARGE(G311:L311,6),0),0)</f>
        <v>405</v>
      </c>
      <c r="N311" s="32" t="s">
        <v>1330</v>
      </c>
      <c r="O311" s="32" t="s">
        <v>919</v>
      </c>
      <c r="P311" s="42">
        <f t="shared" ref="P311:P316" si="68">M311-(ROW(M311)-ROW(M$6))/10000</f>
        <v>404.96949999999998</v>
      </c>
      <c r="Q311" s="32">
        <f t="shared" ref="Q311:Q316" si="69">COUNT(G311:L311)</f>
        <v>5</v>
      </c>
      <c r="R311" s="32">
        <f t="shared" ref="R311:R316" ca="1" si="70">IF(AND(Q311=1,OFFSET(F311,0,R$3)&gt;0),"Y",0)</f>
        <v>0</v>
      </c>
      <c r="S311" s="33" t="s">
        <v>279</v>
      </c>
      <c r="T311" s="34">
        <f t="shared" ref="T311:T316" si="71">1-(S311=S310)</f>
        <v>0</v>
      </c>
      <c r="U311" s="34">
        <f t="shared" ref="U311:U316" ca="1" si="72">OFFSET(F311,0,$R$3)</f>
        <v>155</v>
      </c>
      <c r="V311" s="34">
        <f>-SUMPRODUCT((S$6:S310=S311)*(X$6:X310=X311))</f>
        <v>0</v>
      </c>
      <c r="W311" s="34">
        <f>-SUMPRODUCT((S$6:S310=S311)*(X$6:X310=X311)*(B$6:B310&lt;&gt;"NS"))</f>
        <v>0</v>
      </c>
      <c r="X311" s="35">
        <f t="shared" ref="X311:X316" si="73">M311+SUMPRODUCT(Y$4:AD$4,Y311:AD311)</f>
        <v>405.16946999999999</v>
      </c>
      <c r="Y311" s="27">
        <v>155</v>
      </c>
      <c r="Z311" s="27">
        <v>133</v>
      </c>
      <c r="AA311" s="27">
        <v>117</v>
      </c>
      <c r="AB311" s="27">
        <v>111</v>
      </c>
      <c r="AC311" s="29">
        <v>102</v>
      </c>
      <c r="AD311" s="27"/>
      <c r="AF311" s="36">
        <v>0</v>
      </c>
      <c r="AG311" s="36">
        <v>0</v>
      </c>
      <c r="AH311" s="36">
        <v>0</v>
      </c>
      <c r="AI311" s="36">
        <v>0</v>
      </c>
      <c r="AJ311" s="37">
        <v>4</v>
      </c>
      <c r="AK311" s="67">
        <v>361.08444699999995</v>
      </c>
      <c r="AL311" s="39">
        <v>133</v>
      </c>
      <c r="AM311" s="32">
        <v>383</v>
      </c>
      <c r="AN311" s="39" t="s">
        <v>919</v>
      </c>
      <c r="AO311" s="39"/>
      <c r="AP311" s="39"/>
      <c r="AQ311" s="30"/>
      <c r="AR311" s="26"/>
      <c r="AS311" s="1"/>
    </row>
    <row r="312" spans="1:45" ht="15">
      <c r="A312" s="61">
        <v>2</v>
      </c>
      <c r="B312" s="61">
        <v>2</v>
      </c>
      <c r="C312" s="40">
        <f t="shared" si="66"/>
        <v>2</v>
      </c>
      <c r="D312" s="40">
        <f t="shared" si="66"/>
        <v>2</v>
      </c>
      <c r="E312" s="1" t="s">
        <v>296</v>
      </c>
      <c r="F312" s="29" t="s">
        <v>93</v>
      </c>
      <c r="G312" s="29"/>
      <c r="H312" s="27">
        <v>73</v>
      </c>
      <c r="I312" s="27">
        <v>93</v>
      </c>
      <c r="J312" s="27">
        <v>114</v>
      </c>
      <c r="K312" s="27">
        <v>150</v>
      </c>
      <c r="L312" s="27"/>
      <c r="M312" s="32">
        <f t="shared" si="67"/>
        <v>357</v>
      </c>
      <c r="N312" s="32" t="s">
        <v>1330</v>
      </c>
      <c r="O312" s="32" t="s">
        <v>920</v>
      </c>
      <c r="P312" s="42">
        <f t="shared" si="68"/>
        <v>356.96940000000001</v>
      </c>
      <c r="Q312" s="32">
        <f t="shared" si="69"/>
        <v>4</v>
      </c>
      <c r="R312" s="32">
        <f t="shared" ca="1" si="70"/>
        <v>0</v>
      </c>
      <c r="S312" s="33" t="s">
        <v>279</v>
      </c>
      <c r="T312" s="34">
        <f t="shared" si="71"/>
        <v>0</v>
      </c>
      <c r="U312" s="34">
        <f t="shared" ca="1" si="72"/>
        <v>150</v>
      </c>
      <c r="V312" s="34">
        <f>-SUMPRODUCT((S$6:S311=S312)*(X$6:X311=X312))</f>
        <v>0</v>
      </c>
      <c r="W312" s="34">
        <f>-SUMPRODUCT((S$6:S311=S312)*(X$6:X311=X312)*(B$6:B311&lt;&gt;"NS"))</f>
        <v>0</v>
      </c>
      <c r="X312" s="35">
        <f t="shared" si="73"/>
        <v>357.16233</v>
      </c>
      <c r="Y312" s="27">
        <v>150</v>
      </c>
      <c r="Z312" s="27">
        <v>114</v>
      </c>
      <c r="AA312" s="27">
        <v>93</v>
      </c>
      <c r="AB312" s="27">
        <v>73</v>
      </c>
      <c r="AC312" s="29"/>
      <c r="AD312" s="27"/>
      <c r="AF312" s="36">
        <v>0</v>
      </c>
      <c r="AG312" s="36">
        <v>0</v>
      </c>
      <c r="AH312" s="36">
        <v>0</v>
      </c>
      <c r="AI312" s="36">
        <v>0</v>
      </c>
      <c r="AJ312" s="37">
        <v>3</v>
      </c>
      <c r="AK312" s="67">
        <v>279.97823299999999</v>
      </c>
      <c r="AL312" s="39">
        <v>114</v>
      </c>
      <c r="AM312" s="32">
        <v>321</v>
      </c>
      <c r="AN312" s="39"/>
      <c r="AO312" s="39" t="s">
        <v>920</v>
      </c>
      <c r="AP312" s="39" t="s">
        <v>921</v>
      </c>
      <c r="AQ312" s="30"/>
      <c r="AR312" s="26"/>
      <c r="AS312" s="1"/>
    </row>
    <row r="313" spans="1:45" ht="15">
      <c r="A313" s="61">
        <v>3</v>
      </c>
      <c r="B313" s="61">
        <v>3</v>
      </c>
      <c r="C313" s="40">
        <f t="shared" si="66"/>
        <v>3</v>
      </c>
      <c r="D313" s="40">
        <f t="shared" si="66"/>
        <v>3</v>
      </c>
      <c r="E313" s="1" t="s">
        <v>922</v>
      </c>
      <c r="F313" s="29" t="s">
        <v>88</v>
      </c>
      <c r="G313" s="29"/>
      <c r="H313" s="27">
        <v>104</v>
      </c>
      <c r="I313" s="27">
        <v>68</v>
      </c>
      <c r="J313" s="27">
        <v>113</v>
      </c>
      <c r="K313" s="27"/>
      <c r="L313" s="27"/>
      <c r="M313" s="32">
        <f t="shared" si="67"/>
        <v>285</v>
      </c>
      <c r="N313" s="32" t="s">
        <v>1330</v>
      </c>
      <c r="O313" s="32" t="s">
        <v>921</v>
      </c>
      <c r="P313" s="42">
        <f t="shared" si="68"/>
        <v>284.96929999999998</v>
      </c>
      <c r="Q313" s="32">
        <f t="shared" si="69"/>
        <v>3</v>
      </c>
      <c r="R313" s="32">
        <f t="shared" ca="1" si="70"/>
        <v>0</v>
      </c>
      <c r="S313" s="33" t="s">
        <v>279</v>
      </c>
      <c r="T313" s="34">
        <f t="shared" si="71"/>
        <v>0</v>
      </c>
      <c r="U313" s="34">
        <f t="shared" ca="1" si="72"/>
        <v>0</v>
      </c>
      <c r="V313" s="34">
        <f>-SUMPRODUCT((S$6:S312=S313)*(X$6:X312=X313))</f>
        <v>0</v>
      </c>
      <c r="W313" s="34">
        <f>-SUMPRODUCT((S$6:S312=S313)*(X$6:X312=X313)*(B$6:B312&lt;&gt;"NS"))</f>
        <v>0</v>
      </c>
      <c r="X313" s="35">
        <f t="shared" si="73"/>
        <v>285.12407999999999</v>
      </c>
      <c r="Y313" s="27">
        <v>113</v>
      </c>
      <c r="Z313" s="27">
        <v>104</v>
      </c>
      <c r="AA313" s="27">
        <v>68</v>
      </c>
      <c r="AB313" s="29"/>
      <c r="AC313" s="27"/>
      <c r="AD313" s="27"/>
      <c r="AF313" s="36">
        <v>0</v>
      </c>
      <c r="AG313" s="36">
        <v>0</v>
      </c>
      <c r="AH313" s="36">
        <v>0</v>
      </c>
      <c r="AI313" s="36">
        <v>0</v>
      </c>
      <c r="AJ313" s="37">
        <v>3</v>
      </c>
      <c r="AK313" s="67">
        <v>284.98139800000001</v>
      </c>
      <c r="AL313" s="39">
        <v>113</v>
      </c>
      <c r="AM313" s="32">
        <v>330</v>
      </c>
      <c r="AN313" s="39"/>
      <c r="AO313" s="39" t="s">
        <v>920</v>
      </c>
      <c r="AP313" s="39" t="s">
        <v>921</v>
      </c>
      <c r="AQ313" s="30"/>
      <c r="AR313" s="26"/>
      <c r="AS313" s="1"/>
    </row>
    <row r="314" spans="1:45" ht="15">
      <c r="A314" s="61">
        <v>4</v>
      </c>
      <c r="B314" s="61">
        <v>4</v>
      </c>
      <c r="C314" s="40">
        <f t="shared" si="66"/>
        <v>4</v>
      </c>
      <c r="D314" s="40">
        <f t="shared" si="66"/>
        <v>4</v>
      </c>
      <c r="E314" s="1" t="s">
        <v>344</v>
      </c>
      <c r="F314" s="29" t="s">
        <v>88</v>
      </c>
      <c r="G314" s="29">
        <v>24</v>
      </c>
      <c r="H314" s="27">
        <v>65</v>
      </c>
      <c r="I314" s="27">
        <v>73</v>
      </c>
      <c r="J314" s="27"/>
      <c r="K314" s="27">
        <v>121</v>
      </c>
      <c r="L314" s="27"/>
      <c r="M314" s="32">
        <f t="shared" si="67"/>
        <v>259</v>
      </c>
      <c r="N314" s="32" t="s">
        <v>1330</v>
      </c>
      <c r="O314" s="32"/>
      <c r="P314" s="42">
        <f t="shared" si="68"/>
        <v>258.9692</v>
      </c>
      <c r="Q314" s="32">
        <f t="shared" si="69"/>
        <v>4</v>
      </c>
      <c r="R314" s="32">
        <f t="shared" ca="1" si="70"/>
        <v>0</v>
      </c>
      <c r="S314" s="33" t="s">
        <v>279</v>
      </c>
      <c r="T314" s="34">
        <f t="shared" si="71"/>
        <v>0</v>
      </c>
      <c r="U314" s="34">
        <f t="shared" ca="1" si="72"/>
        <v>121</v>
      </c>
      <c r="V314" s="34">
        <f>-SUMPRODUCT((S$6:S313=S314)*(X$6:X313=X314))</f>
        <v>0</v>
      </c>
      <c r="W314" s="34">
        <f>-SUMPRODUCT((S$6:S313=S314)*(X$6:X313=X314)*(B$6:B313&lt;&gt;"NS"))</f>
        <v>0</v>
      </c>
      <c r="X314" s="35">
        <f t="shared" si="73"/>
        <v>259.12894999999997</v>
      </c>
      <c r="Y314" s="27">
        <v>121</v>
      </c>
      <c r="Z314" s="27">
        <v>73</v>
      </c>
      <c r="AA314" s="27">
        <v>65</v>
      </c>
      <c r="AB314" s="29">
        <v>24</v>
      </c>
      <c r="AC314" s="27"/>
      <c r="AD314" s="27"/>
      <c r="AF314" s="36">
        <v>0</v>
      </c>
      <c r="AG314" s="36">
        <v>0</v>
      </c>
      <c r="AH314" s="36">
        <v>0</v>
      </c>
      <c r="AI314" s="36">
        <v>0</v>
      </c>
      <c r="AJ314" s="37">
        <v>3</v>
      </c>
      <c r="AK314" s="67">
        <v>162.00083000000001</v>
      </c>
      <c r="AL314" s="39">
        <v>73</v>
      </c>
      <c r="AM314" s="32">
        <v>211</v>
      </c>
      <c r="AN314" s="39"/>
      <c r="AO314" s="39"/>
      <c r="AP314" s="39"/>
      <c r="AQ314" s="30"/>
      <c r="AR314" s="26"/>
      <c r="AS314" s="1"/>
    </row>
    <row r="315" spans="1:45" ht="15">
      <c r="A315" s="61">
        <v>5</v>
      </c>
      <c r="B315" s="61">
        <v>5</v>
      </c>
      <c r="C315" s="40">
        <f t="shared" si="66"/>
        <v>5</v>
      </c>
      <c r="D315" s="40">
        <f t="shared" si="66"/>
        <v>5</v>
      </c>
      <c r="E315" s="1" t="s">
        <v>339</v>
      </c>
      <c r="F315" s="29" t="s">
        <v>88</v>
      </c>
      <c r="G315" s="29">
        <v>40</v>
      </c>
      <c r="H315" s="27"/>
      <c r="I315" s="27"/>
      <c r="J315" s="27"/>
      <c r="K315" s="27">
        <v>124</v>
      </c>
      <c r="L315" s="27"/>
      <c r="M315" s="32">
        <f t="shared" si="67"/>
        <v>164</v>
      </c>
      <c r="N315" s="32" t="s">
        <v>1330</v>
      </c>
      <c r="O315" s="32"/>
      <c r="P315" s="42">
        <f t="shared" si="68"/>
        <v>163.9691</v>
      </c>
      <c r="Q315" s="32">
        <f t="shared" si="69"/>
        <v>2</v>
      </c>
      <c r="R315" s="32">
        <f t="shared" ca="1" si="70"/>
        <v>0</v>
      </c>
      <c r="S315" s="33" t="s">
        <v>279</v>
      </c>
      <c r="T315" s="34">
        <f t="shared" si="71"/>
        <v>0</v>
      </c>
      <c r="U315" s="34">
        <f t="shared" ca="1" si="72"/>
        <v>124</v>
      </c>
      <c r="V315" s="34">
        <f>-SUMPRODUCT((S$6:S314=S315)*(X$6:X314=X315))</f>
        <v>0</v>
      </c>
      <c r="W315" s="34">
        <f>-SUMPRODUCT((S$6:S314=S315)*(X$6:X314=X315)*(B$6:B314&lt;&gt;"NS"))</f>
        <v>0</v>
      </c>
      <c r="X315" s="35">
        <f t="shared" si="73"/>
        <v>164.12799999999999</v>
      </c>
      <c r="Y315" s="27">
        <v>124</v>
      </c>
      <c r="Z315" s="29">
        <v>40</v>
      </c>
      <c r="AA315" s="27"/>
      <c r="AB315" s="27"/>
      <c r="AC315" s="27"/>
      <c r="AD315" s="27"/>
      <c r="AF315" s="36">
        <v>0</v>
      </c>
      <c r="AG315" s="36">
        <v>0</v>
      </c>
      <c r="AH315" s="36">
        <v>0</v>
      </c>
      <c r="AI315" s="36">
        <v>0</v>
      </c>
      <c r="AJ315" s="37">
        <v>1</v>
      </c>
      <c r="AK315" s="67">
        <v>40.009399999999999</v>
      </c>
      <c r="AL315" s="39">
        <v>40</v>
      </c>
      <c r="AM315" s="32">
        <v>80</v>
      </c>
      <c r="AN315" s="39"/>
      <c r="AO315" s="39"/>
      <c r="AP315" s="39"/>
      <c r="AQ315" s="30"/>
      <c r="AR315" s="26"/>
      <c r="AS315" s="1"/>
    </row>
    <row r="316" spans="1:45" ht="15">
      <c r="A316" s="61">
        <v>6</v>
      </c>
      <c r="B316" s="61">
        <v>6</v>
      </c>
      <c r="C316" s="40">
        <f t="shared" si="66"/>
        <v>6</v>
      </c>
      <c r="D316" s="40">
        <f t="shared" si="66"/>
        <v>6</v>
      </c>
      <c r="E316" s="1" t="s">
        <v>923</v>
      </c>
      <c r="F316" s="29" t="s">
        <v>47</v>
      </c>
      <c r="G316" s="29">
        <v>44</v>
      </c>
      <c r="H316" s="27"/>
      <c r="I316" s="27"/>
      <c r="J316" s="27"/>
      <c r="K316" s="27"/>
      <c r="L316" s="27"/>
      <c r="M316" s="32">
        <f t="shared" si="67"/>
        <v>44</v>
      </c>
      <c r="N316" s="32" t="s">
        <v>1330</v>
      </c>
      <c r="O316" s="32"/>
      <c r="P316" s="42">
        <f t="shared" si="68"/>
        <v>43.969000000000001</v>
      </c>
      <c r="Q316" s="32">
        <f t="shared" si="69"/>
        <v>1</v>
      </c>
      <c r="R316" s="32">
        <f t="shared" ca="1" si="70"/>
        <v>0</v>
      </c>
      <c r="S316" s="33" t="s">
        <v>279</v>
      </c>
      <c r="T316" s="34">
        <f t="shared" si="71"/>
        <v>0</v>
      </c>
      <c r="U316" s="34">
        <f t="shared" ca="1" si="72"/>
        <v>0</v>
      </c>
      <c r="V316" s="34">
        <f>-SUMPRODUCT((S$6:S315=S316)*(X$6:X315=X316))</f>
        <v>0</v>
      </c>
      <c r="W316" s="34">
        <f>-SUMPRODUCT((S$6:S315=S316)*(X$6:X315=X316)*(B$6:B315&lt;&gt;"NS"))</f>
        <v>0</v>
      </c>
      <c r="X316" s="35">
        <f t="shared" si="73"/>
        <v>44.043999999999997</v>
      </c>
      <c r="Y316" s="29">
        <v>44</v>
      </c>
      <c r="Z316" s="27"/>
      <c r="AA316" s="27"/>
      <c r="AB316" s="27"/>
      <c r="AC316" s="27"/>
      <c r="AD316" s="27"/>
      <c r="AF316" s="36">
        <v>0</v>
      </c>
      <c r="AG316" s="36">
        <v>0</v>
      </c>
      <c r="AH316" s="36">
        <v>0</v>
      </c>
      <c r="AI316" s="36">
        <v>0</v>
      </c>
      <c r="AJ316" s="37">
        <v>1</v>
      </c>
      <c r="AK316" s="67">
        <v>44.013499999999993</v>
      </c>
      <c r="AL316" s="39">
        <v>44</v>
      </c>
      <c r="AM316" s="32">
        <v>88</v>
      </c>
      <c r="AN316" s="39"/>
      <c r="AO316" s="39"/>
      <c r="AP316" s="39"/>
      <c r="AQ316" s="30"/>
      <c r="AR316" s="26"/>
      <c r="AS316" s="1"/>
    </row>
    <row r="317" spans="1:45" s="26" customFormat="1" ht="3" customHeight="1">
      <c r="A317" s="2"/>
      <c r="B317" s="2"/>
      <c r="C317" s="2"/>
      <c r="D317" s="2"/>
      <c r="E317" s="2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42"/>
      <c r="Q317" s="27"/>
      <c r="R317" s="27"/>
      <c r="T317" s="62"/>
      <c r="U317" s="62"/>
      <c r="V317" s="62"/>
      <c r="W317" s="62"/>
      <c r="X317" s="64"/>
      <c r="Y317" s="27"/>
      <c r="Z317" s="27"/>
      <c r="AA317" s="27"/>
      <c r="AB317" s="27"/>
      <c r="AC317" s="27"/>
      <c r="AD317" s="27"/>
      <c r="AJ317" s="58"/>
      <c r="AK317" s="58"/>
      <c r="AN317" s="39"/>
      <c r="AO317" s="39"/>
      <c r="AP317" s="39"/>
      <c r="AQ317" s="50"/>
    </row>
    <row r="318" spans="1:45">
      <c r="L318" s="27"/>
      <c r="M318" s="27"/>
      <c r="N318" s="27"/>
      <c r="O318" s="27"/>
      <c r="P318" s="27"/>
      <c r="Q318" s="27"/>
      <c r="R318" s="27"/>
      <c r="T318" s="65"/>
      <c r="U318" s="65"/>
      <c r="V318" s="65"/>
      <c r="W318" s="65"/>
      <c r="X318" s="27"/>
      <c r="AM318" s="26"/>
      <c r="AN318" s="26"/>
    </row>
    <row r="319" spans="1:45">
      <c r="L319" s="27"/>
      <c r="M319" s="27"/>
      <c r="N319" s="27"/>
      <c r="O319" s="27"/>
      <c r="P319" s="27"/>
      <c r="Q319" s="27"/>
      <c r="R319" s="27"/>
      <c r="T319" s="65"/>
      <c r="U319" s="65"/>
      <c r="V319" s="65"/>
      <c r="W319" s="65"/>
      <c r="X319" s="27"/>
      <c r="AM319" s="26"/>
      <c r="AN319" s="26"/>
    </row>
    <row r="320" spans="1:45">
      <c r="L320" s="27"/>
      <c r="M320" s="27"/>
      <c r="N320" s="27"/>
      <c r="O320" s="27"/>
      <c r="P320" s="27"/>
      <c r="Q320" s="27"/>
      <c r="R320" s="27"/>
      <c r="T320" s="65"/>
      <c r="U320" s="65"/>
      <c r="V320" s="65"/>
      <c r="W320" s="65"/>
      <c r="X320" s="27"/>
      <c r="AM320" s="26"/>
      <c r="AN320" s="26"/>
    </row>
    <row r="321" spans="12:40">
      <c r="L321" s="27"/>
      <c r="M321" s="27"/>
      <c r="N321" s="27"/>
      <c r="O321" s="27"/>
      <c r="P321" s="27"/>
      <c r="Q321" s="27"/>
      <c r="R321" s="27"/>
      <c r="T321" s="65"/>
      <c r="U321" s="65"/>
      <c r="V321" s="65"/>
      <c r="W321" s="65"/>
      <c r="X321" s="27"/>
      <c r="AM321" s="26"/>
      <c r="AN321" s="26"/>
    </row>
    <row r="322" spans="12:40">
      <c r="L322" s="27"/>
      <c r="M322" s="27"/>
      <c r="N322" s="27"/>
      <c r="O322" s="27"/>
      <c r="P322" s="27"/>
      <c r="Q322" s="27"/>
      <c r="R322" s="27"/>
      <c r="T322" s="65"/>
      <c r="U322" s="65"/>
      <c r="V322" s="65"/>
      <c r="W322" s="65"/>
      <c r="X322" s="27"/>
    </row>
    <row r="323" spans="12:40">
      <c r="L323" s="27"/>
      <c r="M323" s="27"/>
      <c r="N323" s="27"/>
      <c r="O323" s="27"/>
      <c r="P323" s="27"/>
      <c r="Q323" s="27"/>
      <c r="R323" s="27"/>
      <c r="T323" s="65"/>
      <c r="U323" s="65"/>
      <c r="V323" s="65"/>
      <c r="W323" s="65"/>
      <c r="X323" s="27"/>
    </row>
    <row r="324" spans="12:40">
      <c r="L324" s="27"/>
      <c r="M324" s="27"/>
      <c r="N324" s="27"/>
      <c r="O324" s="27"/>
      <c r="P324" s="27"/>
      <c r="Q324" s="27"/>
      <c r="R324" s="27"/>
      <c r="T324" s="65"/>
      <c r="U324" s="65"/>
      <c r="V324" s="65"/>
      <c r="W324" s="65"/>
      <c r="X324" s="27"/>
    </row>
    <row r="325" spans="12:40">
      <c r="L325" s="27"/>
      <c r="M325" s="27"/>
      <c r="N325" s="27"/>
      <c r="O325" s="27"/>
      <c r="P325" s="27"/>
      <c r="Q325" s="27"/>
      <c r="R325" s="27"/>
      <c r="T325" s="65"/>
      <c r="U325" s="65"/>
      <c r="V325" s="65"/>
      <c r="W325" s="65"/>
      <c r="X325" s="27"/>
    </row>
    <row r="326" spans="12:40">
      <c r="L326" s="27"/>
      <c r="M326" s="27"/>
      <c r="N326" s="27"/>
      <c r="O326" s="27"/>
      <c r="P326" s="27"/>
      <c r="Q326" s="27"/>
      <c r="R326" s="27"/>
      <c r="T326" s="65"/>
      <c r="U326" s="65"/>
      <c r="V326" s="65"/>
      <c r="W326" s="65"/>
      <c r="X326" s="27"/>
    </row>
    <row r="327" spans="12:40">
      <c r="L327" s="27"/>
      <c r="M327" s="27"/>
      <c r="N327" s="27"/>
      <c r="O327" s="27"/>
      <c r="P327" s="27"/>
      <c r="Q327" s="27"/>
      <c r="R327" s="27"/>
      <c r="T327" s="65"/>
      <c r="U327" s="65"/>
      <c r="V327" s="65"/>
      <c r="W327" s="65"/>
      <c r="X327" s="27"/>
    </row>
    <row r="328" spans="12:40">
      <c r="L328" s="27"/>
      <c r="M328" s="27"/>
      <c r="N328" s="27"/>
      <c r="O328" s="27"/>
      <c r="P328" s="27"/>
      <c r="Q328" s="27"/>
      <c r="R328" s="27"/>
      <c r="T328" s="65"/>
      <c r="U328" s="65"/>
      <c r="V328" s="65"/>
      <c r="W328" s="65"/>
      <c r="X328" s="27"/>
    </row>
    <row r="329" spans="12:40">
      <c r="L329" s="27"/>
      <c r="M329" s="27"/>
      <c r="N329" s="27"/>
      <c r="O329" s="27"/>
      <c r="P329" s="27"/>
      <c r="Q329" s="27"/>
      <c r="R329" s="27"/>
      <c r="T329" s="65"/>
      <c r="U329" s="65"/>
      <c r="V329" s="65"/>
      <c r="W329" s="65"/>
      <c r="X329" s="27"/>
    </row>
    <row r="330" spans="12:40">
      <c r="L330" s="27"/>
      <c r="M330" s="27"/>
      <c r="N330" s="27"/>
      <c r="O330" s="27"/>
      <c r="P330" s="27"/>
      <c r="Q330" s="27"/>
      <c r="R330" s="27"/>
      <c r="T330" s="65"/>
      <c r="U330" s="65"/>
      <c r="V330" s="65"/>
      <c r="W330" s="65"/>
      <c r="X330" s="27"/>
    </row>
    <row r="331" spans="12:40">
      <c r="L331" s="27"/>
      <c r="M331" s="27"/>
      <c r="N331" s="27"/>
      <c r="O331" s="27"/>
      <c r="P331" s="27"/>
      <c r="Q331" s="27"/>
      <c r="R331" s="27"/>
      <c r="T331" s="65"/>
      <c r="U331" s="65"/>
      <c r="V331" s="65"/>
      <c r="W331" s="65"/>
      <c r="X331" s="27"/>
    </row>
    <row r="332" spans="12:40">
      <c r="L332" s="27"/>
      <c r="M332" s="27"/>
      <c r="N332" s="27"/>
      <c r="O332" s="27"/>
      <c r="P332" s="27"/>
      <c r="Q332" s="27"/>
      <c r="R332" s="27"/>
      <c r="T332" s="65"/>
      <c r="U332" s="65"/>
      <c r="V332" s="65"/>
      <c r="W332" s="65"/>
      <c r="X332" s="27"/>
    </row>
    <row r="333" spans="12:40">
      <c r="L333" s="27"/>
      <c r="M333" s="27"/>
      <c r="N333" s="27"/>
      <c r="O333" s="27"/>
      <c r="P333" s="27"/>
      <c r="Q333" s="27"/>
      <c r="R333" s="27"/>
      <c r="T333" s="65"/>
      <c r="U333" s="65"/>
      <c r="V333" s="65"/>
      <c r="W333" s="65"/>
      <c r="X333" s="27"/>
    </row>
    <row r="334" spans="12:40">
      <c r="L334" s="27"/>
      <c r="M334" s="27"/>
      <c r="N334" s="27"/>
      <c r="O334" s="27"/>
      <c r="P334" s="27"/>
      <c r="Q334" s="27"/>
      <c r="R334" s="27"/>
      <c r="T334" s="65"/>
      <c r="U334" s="65"/>
      <c r="V334" s="65"/>
      <c r="W334" s="65"/>
      <c r="X334" s="27"/>
    </row>
    <row r="335" spans="12:40">
      <c r="L335" s="27"/>
      <c r="M335" s="27"/>
      <c r="N335" s="27"/>
      <c r="O335" s="27"/>
      <c r="P335" s="27"/>
      <c r="Q335" s="27"/>
      <c r="R335" s="27"/>
      <c r="T335" s="65"/>
      <c r="U335" s="65"/>
      <c r="V335" s="65"/>
      <c r="W335" s="65"/>
      <c r="X335" s="27"/>
    </row>
    <row r="336" spans="12:40">
      <c r="L336" s="27"/>
      <c r="M336" s="27"/>
      <c r="N336" s="27"/>
      <c r="O336" s="27"/>
      <c r="P336" s="27"/>
      <c r="Q336" s="27"/>
      <c r="R336" s="27"/>
      <c r="T336" s="65"/>
      <c r="U336" s="65"/>
      <c r="V336" s="65"/>
      <c r="W336" s="65"/>
      <c r="X336" s="27"/>
    </row>
    <row r="337" spans="12:24">
      <c r="L337" s="27"/>
      <c r="M337" s="27"/>
      <c r="N337" s="27"/>
      <c r="O337" s="27"/>
      <c r="P337" s="27"/>
      <c r="Q337" s="27"/>
      <c r="R337" s="27"/>
      <c r="T337" s="65"/>
      <c r="U337" s="65"/>
      <c r="V337" s="65"/>
      <c r="W337" s="65"/>
      <c r="X337" s="27"/>
    </row>
    <row r="338" spans="12:24">
      <c r="L338" s="27"/>
      <c r="M338" s="27"/>
      <c r="N338" s="27"/>
      <c r="O338" s="27"/>
      <c r="P338" s="27"/>
      <c r="Q338" s="27"/>
      <c r="R338" s="27"/>
      <c r="T338" s="65"/>
      <c r="U338" s="65"/>
      <c r="V338" s="65"/>
      <c r="W338" s="65"/>
      <c r="X338" s="27"/>
    </row>
    <row r="339" spans="12:24">
      <c r="L339" s="27"/>
      <c r="M339" s="27"/>
      <c r="N339" s="27"/>
      <c r="O339" s="27"/>
      <c r="P339" s="27"/>
      <c r="Q339" s="27"/>
      <c r="R339" s="27"/>
      <c r="T339" s="65"/>
      <c r="U339" s="65"/>
      <c r="V339" s="65"/>
      <c r="W339" s="65"/>
      <c r="X339" s="27"/>
    </row>
    <row r="340" spans="12:24">
      <c r="L340" s="27"/>
      <c r="M340" s="27"/>
      <c r="N340" s="27"/>
      <c r="O340" s="27"/>
      <c r="P340" s="27"/>
      <c r="Q340" s="27"/>
      <c r="R340" s="27"/>
      <c r="T340" s="65"/>
      <c r="U340" s="65"/>
      <c r="V340" s="65"/>
      <c r="W340" s="65"/>
      <c r="X340" s="27"/>
    </row>
    <row r="341" spans="12:24">
      <c r="L341" s="27"/>
      <c r="M341" s="27"/>
      <c r="N341" s="27"/>
      <c r="O341" s="27"/>
      <c r="P341" s="27"/>
      <c r="Q341" s="27"/>
      <c r="R341" s="27"/>
      <c r="T341" s="65"/>
      <c r="U341" s="65"/>
      <c r="V341" s="65"/>
      <c r="W341" s="65"/>
      <c r="X341" s="27"/>
    </row>
    <row r="342" spans="12:24">
      <c r="L342" s="27"/>
      <c r="M342" s="27"/>
      <c r="N342" s="27"/>
      <c r="O342" s="27"/>
      <c r="P342" s="27"/>
      <c r="Q342" s="27"/>
      <c r="R342" s="27"/>
      <c r="T342" s="65"/>
      <c r="U342" s="65"/>
      <c r="V342" s="65"/>
      <c r="W342" s="65"/>
      <c r="X342" s="27"/>
    </row>
    <row r="343" spans="12:24">
      <c r="L343" s="27"/>
      <c r="M343" s="27"/>
      <c r="N343" s="27"/>
      <c r="O343" s="27"/>
      <c r="P343" s="27"/>
      <c r="Q343" s="27"/>
      <c r="R343" s="27"/>
      <c r="T343" s="65"/>
      <c r="U343" s="65"/>
      <c r="V343" s="65"/>
      <c r="W343" s="65"/>
      <c r="X343" s="27"/>
    </row>
    <row r="344" spans="12:24">
      <c r="L344" s="27"/>
      <c r="M344" s="27"/>
      <c r="N344" s="27"/>
      <c r="O344" s="27"/>
      <c r="P344" s="27"/>
      <c r="Q344" s="27"/>
      <c r="R344" s="27"/>
      <c r="T344" s="65"/>
      <c r="U344" s="65"/>
      <c r="V344" s="65"/>
      <c r="W344" s="65"/>
      <c r="X344" s="27"/>
    </row>
    <row r="345" spans="12:24">
      <c r="L345" s="27"/>
      <c r="M345" s="27"/>
      <c r="N345" s="27"/>
      <c r="O345" s="27"/>
      <c r="P345" s="27"/>
      <c r="Q345" s="27"/>
      <c r="R345" s="27"/>
      <c r="T345" s="65"/>
      <c r="U345" s="65"/>
      <c r="V345" s="65"/>
      <c r="W345" s="65"/>
      <c r="X345" s="27"/>
    </row>
    <row r="346" spans="12:24">
      <c r="L346" s="27"/>
      <c r="M346" s="27"/>
      <c r="N346" s="27"/>
      <c r="O346" s="27"/>
      <c r="P346" s="27"/>
      <c r="Q346" s="27"/>
      <c r="R346" s="27"/>
      <c r="T346" s="65"/>
      <c r="U346" s="65"/>
      <c r="V346" s="65"/>
      <c r="W346" s="65"/>
      <c r="X346" s="27"/>
    </row>
    <row r="347" spans="12:24">
      <c r="L347" s="27"/>
      <c r="M347" s="27"/>
      <c r="N347" s="27"/>
      <c r="O347" s="27"/>
      <c r="P347" s="27"/>
      <c r="Q347" s="27"/>
      <c r="R347" s="27"/>
      <c r="T347" s="65"/>
      <c r="U347" s="65"/>
      <c r="V347" s="65"/>
      <c r="W347" s="65"/>
      <c r="X347" s="27"/>
    </row>
    <row r="348" spans="12:24">
      <c r="L348" s="27"/>
      <c r="M348" s="27"/>
      <c r="N348" s="27"/>
      <c r="O348" s="27"/>
      <c r="P348" s="27"/>
      <c r="Q348" s="27"/>
      <c r="R348" s="27"/>
      <c r="T348" s="65"/>
      <c r="U348" s="65"/>
      <c r="V348" s="65"/>
      <c r="W348" s="65"/>
      <c r="X348" s="27"/>
    </row>
    <row r="349" spans="12:24">
      <c r="L349" s="27"/>
      <c r="M349" s="27"/>
      <c r="N349" s="27"/>
      <c r="O349" s="27"/>
      <c r="P349" s="27"/>
      <c r="Q349" s="27"/>
      <c r="R349" s="27"/>
      <c r="T349" s="65"/>
      <c r="U349" s="65"/>
      <c r="V349" s="65"/>
      <c r="W349" s="65"/>
      <c r="X349" s="27"/>
    </row>
    <row r="350" spans="12:24">
      <c r="L350" s="27"/>
      <c r="M350" s="27"/>
      <c r="N350" s="27"/>
      <c r="O350" s="27"/>
      <c r="P350" s="27"/>
      <c r="Q350" s="27"/>
      <c r="R350" s="27"/>
      <c r="T350" s="65"/>
      <c r="U350" s="65"/>
      <c r="V350" s="65"/>
      <c r="W350" s="65"/>
      <c r="X350" s="27"/>
    </row>
    <row r="351" spans="12:24">
      <c r="L351" s="27"/>
      <c r="M351" s="27"/>
      <c r="N351" s="27"/>
      <c r="O351" s="27"/>
      <c r="P351" s="27"/>
      <c r="Q351" s="27"/>
      <c r="R351" s="27"/>
      <c r="T351" s="65"/>
      <c r="U351" s="65"/>
      <c r="V351" s="65"/>
      <c r="W351" s="65"/>
      <c r="X351" s="27"/>
    </row>
    <row r="352" spans="12:24">
      <c r="L352" s="27"/>
      <c r="M352" s="27"/>
      <c r="N352" s="27"/>
      <c r="O352" s="27"/>
      <c r="P352" s="27"/>
      <c r="Q352" s="27"/>
      <c r="R352" s="27"/>
      <c r="T352" s="65"/>
      <c r="U352" s="65"/>
      <c r="V352" s="65"/>
      <c r="W352" s="65"/>
      <c r="X352" s="27"/>
    </row>
    <row r="353" spans="12:24">
      <c r="L353" s="27"/>
      <c r="M353" s="27"/>
      <c r="N353" s="27"/>
      <c r="O353" s="27"/>
      <c r="P353" s="27"/>
      <c r="Q353" s="27"/>
      <c r="R353" s="27"/>
      <c r="T353" s="65"/>
      <c r="U353" s="65"/>
      <c r="V353" s="65"/>
      <c r="W353" s="65"/>
      <c r="X353" s="27"/>
    </row>
    <row r="354" spans="12:24">
      <c r="L354" s="27"/>
      <c r="M354" s="27"/>
      <c r="N354" s="27"/>
      <c r="O354" s="27"/>
      <c r="P354" s="27"/>
      <c r="Q354" s="27"/>
      <c r="R354" s="27"/>
      <c r="T354" s="65"/>
      <c r="U354" s="65"/>
      <c r="V354" s="65"/>
      <c r="W354" s="65"/>
      <c r="X354" s="27"/>
    </row>
    <row r="355" spans="12:24">
      <c r="L355" s="27"/>
      <c r="M355" s="27"/>
      <c r="N355" s="27"/>
      <c r="O355" s="27"/>
      <c r="P355" s="27"/>
      <c r="Q355" s="27"/>
      <c r="R355" s="27"/>
      <c r="T355" s="65"/>
      <c r="U355" s="65"/>
      <c r="V355" s="65"/>
      <c r="W355" s="65"/>
      <c r="X355" s="27"/>
    </row>
    <row r="356" spans="12:24">
      <c r="L356" s="27"/>
      <c r="M356" s="27"/>
      <c r="N356" s="27"/>
      <c r="O356" s="27"/>
      <c r="P356" s="27"/>
      <c r="Q356" s="27"/>
      <c r="R356" s="27"/>
      <c r="T356" s="65"/>
      <c r="U356" s="65"/>
      <c r="V356" s="65"/>
      <c r="W356" s="65"/>
      <c r="X356" s="27"/>
    </row>
    <row r="357" spans="12:24">
      <c r="L357" s="27"/>
      <c r="M357" s="27"/>
      <c r="N357" s="27"/>
      <c r="O357" s="27"/>
      <c r="P357" s="27"/>
      <c r="Q357" s="27"/>
      <c r="R357" s="27"/>
      <c r="T357" s="65"/>
      <c r="U357" s="65"/>
      <c r="V357" s="65"/>
      <c r="W357" s="65"/>
      <c r="X357" s="27"/>
    </row>
    <row r="358" spans="12:24">
      <c r="L358" s="27"/>
      <c r="M358" s="27"/>
      <c r="N358" s="27"/>
      <c r="O358" s="27"/>
      <c r="P358" s="27"/>
      <c r="Q358" s="27"/>
      <c r="R358" s="27"/>
      <c r="T358" s="65"/>
      <c r="U358" s="65"/>
      <c r="V358" s="65"/>
      <c r="W358" s="65"/>
      <c r="X358" s="27"/>
    </row>
    <row r="359" spans="12:24">
      <c r="L359" s="27"/>
      <c r="M359" s="27"/>
      <c r="N359" s="27"/>
      <c r="O359" s="27"/>
      <c r="P359" s="27"/>
      <c r="Q359" s="27"/>
      <c r="R359" s="27"/>
      <c r="T359" s="65"/>
      <c r="U359" s="65"/>
      <c r="V359" s="65"/>
      <c r="W359" s="65"/>
      <c r="X359" s="27"/>
    </row>
    <row r="360" spans="12:24">
      <c r="L360" s="27"/>
      <c r="M360" s="27"/>
      <c r="N360" s="27"/>
      <c r="O360" s="27"/>
      <c r="P360" s="27"/>
      <c r="Q360" s="27"/>
      <c r="R360" s="27"/>
      <c r="T360" s="65"/>
      <c r="U360" s="65"/>
      <c r="V360" s="65"/>
      <c r="W360" s="65"/>
      <c r="X360" s="27"/>
    </row>
    <row r="361" spans="12:24">
      <c r="L361" s="27"/>
      <c r="M361" s="27"/>
      <c r="N361" s="27"/>
      <c r="O361" s="27"/>
      <c r="P361" s="27"/>
      <c r="Q361" s="27"/>
      <c r="R361" s="27"/>
      <c r="T361" s="65"/>
      <c r="U361" s="65"/>
      <c r="V361" s="65"/>
      <c r="W361" s="65"/>
      <c r="X361" s="27"/>
    </row>
    <row r="362" spans="12:24">
      <c r="L362" s="27"/>
      <c r="M362" s="27"/>
      <c r="N362" s="27"/>
      <c r="O362" s="27"/>
      <c r="P362" s="27"/>
      <c r="Q362" s="27"/>
      <c r="R362" s="27"/>
      <c r="T362" s="65"/>
      <c r="U362" s="65"/>
      <c r="V362" s="65"/>
      <c r="W362" s="65"/>
      <c r="X362" s="27"/>
    </row>
    <row r="363" spans="12:24">
      <c r="L363" s="27"/>
      <c r="M363" s="27"/>
      <c r="N363" s="27"/>
      <c r="O363" s="27"/>
      <c r="P363" s="27"/>
      <c r="Q363" s="27"/>
      <c r="R363" s="27"/>
      <c r="T363" s="65"/>
      <c r="U363" s="65"/>
      <c r="V363" s="65"/>
      <c r="W363" s="65"/>
      <c r="X363" s="27"/>
    </row>
    <row r="364" spans="12:24">
      <c r="L364" s="27"/>
      <c r="M364" s="27"/>
      <c r="N364" s="27"/>
      <c r="O364" s="27"/>
      <c r="P364" s="27"/>
      <c r="Q364" s="27"/>
      <c r="R364" s="27"/>
      <c r="T364" s="65"/>
      <c r="U364" s="65"/>
      <c r="V364" s="65"/>
      <c r="W364" s="65"/>
      <c r="X364" s="27"/>
    </row>
    <row r="365" spans="12:24">
      <c r="L365" s="27"/>
      <c r="M365" s="27"/>
      <c r="N365" s="27"/>
      <c r="O365" s="27"/>
      <c r="P365" s="27"/>
      <c r="Q365" s="27"/>
      <c r="R365" s="27"/>
      <c r="T365" s="65"/>
      <c r="U365" s="65"/>
      <c r="V365" s="65"/>
      <c r="W365" s="65"/>
      <c r="X365" s="27"/>
    </row>
    <row r="366" spans="12:24">
      <c r="L366" s="27"/>
      <c r="M366" s="27"/>
      <c r="N366" s="27"/>
      <c r="O366" s="27"/>
      <c r="P366" s="27"/>
      <c r="Q366" s="27"/>
      <c r="R366" s="27"/>
      <c r="T366" s="65"/>
      <c r="U366" s="65"/>
      <c r="V366" s="65"/>
      <c r="W366" s="65"/>
      <c r="X366" s="27"/>
    </row>
    <row r="367" spans="12:24">
      <c r="L367" s="27"/>
      <c r="M367" s="27"/>
      <c r="N367" s="27"/>
      <c r="O367" s="27"/>
      <c r="P367" s="27"/>
      <c r="Q367" s="27"/>
      <c r="R367" s="27"/>
      <c r="T367" s="65"/>
      <c r="U367" s="65"/>
      <c r="V367" s="65"/>
      <c r="W367" s="65"/>
      <c r="X367" s="27"/>
    </row>
    <row r="368" spans="12:24">
      <c r="L368" s="27"/>
      <c r="M368" s="27"/>
      <c r="N368" s="27"/>
      <c r="O368" s="27"/>
      <c r="P368" s="27"/>
      <c r="Q368" s="27"/>
      <c r="R368" s="27"/>
      <c r="T368" s="65"/>
      <c r="U368" s="65"/>
      <c r="V368" s="65"/>
      <c r="W368" s="65"/>
      <c r="X368" s="27"/>
    </row>
    <row r="369" spans="12:24">
      <c r="L369" s="27"/>
      <c r="M369" s="27"/>
      <c r="N369" s="27"/>
      <c r="O369" s="27"/>
      <c r="P369" s="27"/>
      <c r="Q369" s="27"/>
      <c r="R369" s="27"/>
      <c r="T369" s="65"/>
      <c r="U369" s="65"/>
      <c r="V369" s="65"/>
      <c r="W369" s="65"/>
      <c r="X369" s="27"/>
    </row>
    <row r="370" spans="12:24">
      <c r="L370" s="27"/>
      <c r="M370" s="27"/>
      <c r="N370" s="27"/>
      <c r="O370" s="27"/>
      <c r="P370" s="27"/>
      <c r="Q370" s="27"/>
      <c r="R370" s="27"/>
      <c r="T370" s="65"/>
      <c r="U370" s="65"/>
      <c r="V370" s="65"/>
      <c r="W370" s="65"/>
      <c r="X370" s="27"/>
    </row>
    <row r="371" spans="12:24">
      <c r="L371" s="27"/>
      <c r="M371" s="27"/>
      <c r="N371" s="27"/>
      <c r="O371" s="27"/>
      <c r="P371" s="27"/>
      <c r="Q371" s="27"/>
      <c r="R371" s="27"/>
      <c r="T371" s="65"/>
      <c r="U371" s="65"/>
      <c r="V371" s="65"/>
      <c r="W371" s="65"/>
      <c r="X371" s="27"/>
    </row>
    <row r="372" spans="12:24">
      <c r="L372" s="27"/>
      <c r="M372" s="27"/>
      <c r="N372" s="27"/>
      <c r="O372" s="27"/>
      <c r="P372" s="27"/>
      <c r="Q372" s="27"/>
      <c r="R372" s="27"/>
      <c r="T372" s="65"/>
      <c r="U372" s="65"/>
      <c r="V372" s="65"/>
      <c r="W372" s="65"/>
      <c r="X372" s="27"/>
    </row>
    <row r="373" spans="12:24">
      <c r="L373" s="27"/>
      <c r="M373" s="27"/>
      <c r="N373" s="27"/>
      <c r="O373" s="27"/>
      <c r="P373" s="27"/>
      <c r="Q373" s="27"/>
      <c r="R373" s="27"/>
      <c r="T373" s="65"/>
      <c r="U373" s="65"/>
      <c r="V373" s="65"/>
      <c r="W373" s="65"/>
      <c r="X373" s="27"/>
    </row>
    <row r="374" spans="12:24">
      <c r="L374" s="27"/>
      <c r="M374" s="27"/>
      <c r="N374" s="27"/>
      <c r="O374" s="27"/>
      <c r="P374" s="27"/>
      <c r="Q374" s="27"/>
      <c r="R374" s="27"/>
      <c r="T374" s="65"/>
      <c r="U374" s="65"/>
      <c r="V374" s="65"/>
      <c r="W374" s="65"/>
      <c r="X374" s="27"/>
    </row>
    <row r="375" spans="12:24">
      <c r="L375" s="27"/>
      <c r="M375" s="27"/>
      <c r="N375" s="27"/>
      <c r="O375" s="27"/>
      <c r="P375" s="27"/>
      <c r="Q375" s="27"/>
      <c r="R375" s="27"/>
      <c r="T375" s="65"/>
      <c r="U375" s="65"/>
      <c r="V375" s="65"/>
      <c r="W375" s="65"/>
      <c r="X375" s="27"/>
    </row>
    <row r="376" spans="12:24">
      <c r="L376" s="27"/>
      <c r="M376" s="27"/>
      <c r="N376" s="27"/>
      <c r="O376" s="27"/>
      <c r="P376" s="27"/>
      <c r="Q376" s="27"/>
      <c r="R376" s="27"/>
      <c r="T376" s="65"/>
      <c r="U376" s="65"/>
      <c r="V376" s="65"/>
      <c r="W376" s="65"/>
      <c r="X376" s="27"/>
    </row>
    <row r="377" spans="12:24">
      <c r="L377" s="27"/>
      <c r="M377" s="27"/>
      <c r="N377" s="27"/>
      <c r="O377" s="27"/>
      <c r="P377" s="27"/>
      <c r="Q377" s="27"/>
      <c r="R377" s="27"/>
      <c r="T377" s="65"/>
      <c r="U377" s="65"/>
      <c r="V377" s="65"/>
      <c r="W377" s="65"/>
      <c r="X377" s="27"/>
    </row>
    <row r="378" spans="12:24">
      <c r="L378" s="27"/>
      <c r="M378" s="27"/>
      <c r="N378" s="27"/>
      <c r="O378" s="27"/>
      <c r="P378" s="27"/>
      <c r="Q378" s="27"/>
      <c r="R378" s="27"/>
      <c r="T378" s="65"/>
      <c r="U378" s="65"/>
      <c r="V378" s="65"/>
      <c r="W378" s="65"/>
      <c r="X378" s="27"/>
    </row>
    <row r="379" spans="12:24">
      <c r="L379" s="27"/>
      <c r="M379" s="27"/>
      <c r="N379" s="27"/>
      <c r="O379" s="27"/>
      <c r="P379" s="27"/>
      <c r="Q379" s="27"/>
      <c r="R379" s="27"/>
      <c r="T379" s="65"/>
      <c r="U379" s="65"/>
      <c r="V379" s="65"/>
      <c r="W379" s="65"/>
      <c r="X379" s="27"/>
    </row>
    <row r="380" spans="12:24">
      <c r="L380" s="27"/>
      <c r="M380" s="27"/>
      <c r="N380" s="27"/>
      <c r="O380" s="27"/>
      <c r="P380" s="27"/>
      <c r="Q380" s="27"/>
      <c r="R380" s="27"/>
      <c r="T380" s="65"/>
      <c r="U380" s="65"/>
      <c r="V380" s="65"/>
      <c r="W380" s="65"/>
      <c r="X380" s="27"/>
    </row>
    <row r="381" spans="12:24">
      <c r="L381" s="27"/>
      <c r="M381" s="27"/>
      <c r="N381" s="27"/>
      <c r="O381" s="27"/>
      <c r="P381" s="27"/>
      <c r="Q381" s="27"/>
      <c r="R381" s="27"/>
      <c r="T381" s="65"/>
      <c r="U381" s="65"/>
      <c r="V381" s="65"/>
      <c r="W381" s="65"/>
      <c r="X381" s="27"/>
    </row>
    <row r="382" spans="12:24">
      <c r="L382" s="27"/>
      <c r="M382" s="27"/>
      <c r="N382" s="27"/>
      <c r="O382" s="27"/>
      <c r="P382" s="27"/>
      <c r="Q382" s="27"/>
      <c r="R382" s="27"/>
      <c r="T382" s="65"/>
      <c r="U382" s="65"/>
      <c r="V382" s="65"/>
      <c r="W382" s="65"/>
      <c r="X382" s="27"/>
    </row>
    <row r="383" spans="12:24">
      <c r="L383" s="27"/>
      <c r="M383" s="27"/>
      <c r="N383" s="27"/>
      <c r="O383" s="27"/>
      <c r="P383" s="27"/>
      <c r="Q383" s="27"/>
      <c r="R383" s="27"/>
      <c r="T383" s="65"/>
      <c r="U383" s="65"/>
      <c r="V383" s="65"/>
      <c r="W383" s="65"/>
      <c r="X383" s="27"/>
    </row>
    <row r="384" spans="12:24">
      <c r="L384" s="27"/>
      <c r="M384" s="27"/>
      <c r="N384" s="27"/>
      <c r="O384" s="27"/>
      <c r="P384" s="27"/>
      <c r="Q384" s="27"/>
      <c r="R384" s="27"/>
      <c r="T384" s="65"/>
      <c r="U384" s="65"/>
      <c r="V384" s="65"/>
      <c r="W384" s="65"/>
      <c r="X384" s="27"/>
    </row>
    <row r="385" spans="12:24">
      <c r="L385" s="27"/>
      <c r="M385" s="27"/>
      <c r="N385" s="27"/>
      <c r="O385" s="27"/>
      <c r="P385" s="27"/>
      <c r="Q385" s="27"/>
      <c r="R385" s="27"/>
      <c r="T385" s="65"/>
      <c r="U385" s="65"/>
      <c r="V385" s="65"/>
      <c r="W385" s="65"/>
      <c r="X385" s="27"/>
    </row>
    <row r="386" spans="12:24">
      <c r="L386" s="27"/>
      <c r="M386" s="27"/>
      <c r="N386" s="27"/>
      <c r="O386" s="27"/>
      <c r="P386" s="27"/>
      <c r="Q386" s="27"/>
      <c r="R386" s="27"/>
      <c r="T386" s="65"/>
      <c r="U386" s="65"/>
      <c r="V386" s="65"/>
      <c r="W386" s="65"/>
      <c r="X386" s="27"/>
    </row>
    <row r="387" spans="12:24">
      <c r="L387" s="27"/>
      <c r="M387" s="27"/>
      <c r="N387" s="27"/>
      <c r="O387" s="27"/>
      <c r="P387" s="27"/>
      <c r="Q387" s="27"/>
      <c r="R387" s="27"/>
      <c r="T387" s="65"/>
      <c r="U387" s="65"/>
      <c r="V387" s="65"/>
      <c r="W387" s="65"/>
      <c r="X387" s="27"/>
    </row>
    <row r="388" spans="12:24">
      <c r="L388" s="27"/>
      <c r="M388" s="27"/>
      <c r="N388" s="27"/>
      <c r="O388" s="27"/>
      <c r="P388" s="27"/>
      <c r="Q388" s="27"/>
      <c r="R388" s="27"/>
      <c r="T388" s="65"/>
      <c r="U388" s="65"/>
      <c r="V388" s="65"/>
      <c r="W388" s="65"/>
      <c r="X388" s="27"/>
    </row>
    <row r="389" spans="12:24">
      <c r="L389" s="27"/>
      <c r="M389" s="27"/>
      <c r="N389" s="27"/>
      <c r="O389" s="27"/>
      <c r="P389" s="27"/>
      <c r="Q389" s="27"/>
      <c r="R389" s="27"/>
      <c r="T389" s="65"/>
      <c r="U389" s="65"/>
      <c r="V389" s="65"/>
      <c r="W389" s="65"/>
      <c r="X389" s="27"/>
    </row>
    <row r="390" spans="12:24">
      <c r="L390" s="27"/>
      <c r="M390" s="27"/>
      <c r="N390" s="27"/>
      <c r="O390" s="27"/>
      <c r="P390" s="27"/>
      <c r="Q390" s="27"/>
      <c r="R390" s="27"/>
      <c r="T390" s="65"/>
      <c r="U390" s="65"/>
      <c r="V390" s="65"/>
      <c r="W390" s="65"/>
      <c r="X390" s="27"/>
    </row>
    <row r="391" spans="12:24">
      <c r="L391" s="27"/>
      <c r="M391" s="27"/>
      <c r="N391" s="27"/>
      <c r="O391" s="27"/>
      <c r="P391" s="27"/>
      <c r="Q391" s="27"/>
      <c r="R391" s="27"/>
      <c r="T391" s="65"/>
      <c r="U391" s="65"/>
      <c r="V391" s="65"/>
      <c r="W391" s="65"/>
      <c r="X391" s="27"/>
    </row>
    <row r="392" spans="12:24">
      <c r="L392" s="27"/>
      <c r="M392" s="27"/>
      <c r="N392" s="27"/>
      <c r="O392" s="27"/>
      <c r="P392" s="27"/>
      <c r="Q392" s="27"/>
      <c r="R392" s="27"/>
      <c r="T392" s="65"/>
      <c r="U392" s="65"/>
      <c r="V392" s="65"/>
      <c r="W392" s="65"/>
      <c r="X392" s="27"/>
    </row>
    <row r="393" spans="12:24">
      <c r="L393" s="27"/>
      <c r="M393" s="27"/>
      <c r="N393" s="27"/>
      <c r="O393" s="27"/>
      <c r="P393" s="27"/>
      <c r="Q393" s="27"/>
      <c r="R393" s="27"/>
      <c r="T393" s="65"/>
      <c r="U393" s="65"/>
      <c r="V393" s="65"/>
      <c r="W393" s="65"/>
      <c r="X393" s="27"/>
    </row>
    <row r="394" spans="12:24">
      <c r="L394" s="27"/>
      <c r="M394" s="27"/>
      <c r="N394" s="27"/>
      <c r="O394" s="27"/>
      <c r="P394" s="27"/>
      <c r="Q394" s="27"/>
      <c r="R394" s="27"/>
      <c r="T394" s="65"/>
      <c r="U394" s="65"/>
      <c r="V394" s="65"/>
      <c r="W394" s="65"/>
      <c r="X394" s="27"/>
    </row>
    <row r="395" spans="12:24">
      <c r="L395" s="27"/>
      <c r="M395" s="27"/>
      <c r="N395" s="27"/>
      <c r="O395" s="27"/>
      <c r="P395" s="27"/>
      <c r="Q395" s="27"/>
      <c r="R395" s="27"/>
      <c r="T395" s="65"/>
      <c r="U395" s="65"/>
      <c r="V395" s="65"/>
      <c r="W395" s="65"/>
      <c r="X395" s="27"/>
    </row>
    <row r="396" spans="12:24">
      <c r="L396" s="27"/>
      <c r="M396" s="27"/>
      <c r="N396" s="27"/>
      <c r="O396" s="27"/>
      <c r="P396" s="27"/>
      <c r="Q396" s="27"/>
      <c r="R396" s="27"/>
      <c r="T396" s="65"/>
      <c r="U396" s="65"/>
      <c r="V396" s="65"/>
      <c r="W396" s="65"/>
      <c r="X396" s="27"/>
    </row>
    <row r="397" spans="12:24">
      <c r="L397" s="27"/>
      <c r="M397" s="27"/>
      <c r="N397" s="27"/>
      <c r="O397" s="27"/>
      <c r="P397" s="27"/>
      <c r="Q397" s="27"/>
      <c r="R397" s="27"/>
      <c r="T397" s="65"/>
      <c r="U397" s="65"/>
      <c r="V397" s="65"/>
      <c r="W397" s="65"/>
      <c r="X397" s="27"/>
    </row>
    <row r="398" spans="12:24">
      <c r="L398" s="27"/>
      <c r="M398" s="27"/>
      <c r="N398" s="27"/>
      <c r="O398" s="27"/>
      <c r="P398" s="27"/>
      <c r="Q398" s="27"/>
      <c r="R398" s="27"/>
      <c r="T398" s="65"/>
      <c r="U398" s="65"/>
      <c r="V398" s="65"/>
      <c r="W398" s="65"/>
      <c r="X398" s="27"/>
    </row>
    <row r="399" spans="12:24">
      <c r="L399" s="27"/>
      <c r="M399" s="27"/>
      <c r="N399" s="27"/>
      <c r="O399" s="27"/>
      <c r="P399" s="27"/>
      <c r="Q399" s="27"/>
      <c r="R399" s="27"/>
      <c r="T399" s="65"/>
      <c r="U399" s="65"/>
      <c r="V399" s="65"/>
      <c r="W399" s="65"/>
      <c r="X399" s="27"/>
    </row>
    <row r="400" spans="12:24">
      <c r="L400" s="27"/>
      <c r="M400" s="27"/>
      <c r="N400" s="27"/>
      <c r="O400" s="27"/>
      <c r="P400" s="27"/>
      <c r="Q400" s="27"/>
      <c r="R400" s="27"/>
      <c r="T400" s="65"/>
      <c r="U400" s="65"/>
      <c r="V400" s="65"/>
      <c r="W400" s="65"/>
      <c r="X400" s="27"/>
    </row>
    <row r="401" spans="12:24">
      <c r="L401" s="27"/>
      <c r="M401" s="27"/>
      <c r="N401" s="27"/>
      <c r="O401" s="27"/>
      <c r="P401" s="27"/>
      <c r="Q401" s="27"/>
      <c r="R401" s="27"/>
      <c r="T401" s="65"/>
      <c r="U401" s="65"/>
      <c r="V401" s="65"/>
      <c r="W401" s="65"/>
      <c r="X401" s="27"/>
    </row>
    <row r="402" spans="12:24">
      <c r="L402" s="27"/>
      <c r="M402" s="27"/>
      <c r="N402" s="27"/>
      <c r="O402" s="27"/>
      <c r="P402" s="27"/>
      <c r="Q402" s="27"/>
      <c r="R402" s="27"/>
      <c r="T402" s="65"/>
      <c r="U402" s="65"/>
      <c r="V402" s="65"/>
      <c r="W402" s="65"/>
      <c r="X402" s="27"/>
    </row>
    <row r="403" spans="12:24">
      <c r="L403" s="27"/>
      <c r="M403" s="27"/>
      <c r="N403" s="27"/>
      <c r="O403" s="27"/>
      <c r="P403" s="27"/>
      <c r="Q403" s="27"/>
      <c r="R403" s="27"/>
      <c r="T403" s="65"/>
      <c r="U403" s="65"/>
      <c r="V403" s="65"/>
      <c r="W403" s="65"/>
      <c r="X403" s="27"/>
    </row>
    <row r="404" spans="12:24">
      <c r="L404" s="27"/>
      <c r="M404" s="27"/>
      <c r="N404" s="27"/>
      <c r="O404" s="27"/>
      <c r="P404" s="27"/>
      <c r="Q404" s="27"/>
      <c r="R404" s="27"/>
      <c r="T404" s="65"/>
      <c r="U404" s="65"/>
      <c r="V404" s="65"/>
      <c r="W404" s="65"/>
      <c r="X404" s="27"/>
    </row>
    <row r="405" spans="12:24">
      <c r="L405" s="27"/>
      <c r="M405" s="27"/>
      <c r="N405" s="27"/>
      <c r="O405" s="27"/>
      <c r="P405" s="27"/>
      <c r="Q405" s="27"/>
      <c r="R405" s="27"/>
      <c r="S405" s="27"/>
      <c r="T405" s="62"/>
      <c r="U405" s="62"/>
      <c r="V405" s="62"/>
      <c r="W405" s="62"/>
      <c r="X405" s="27"/>
    </row>
    <row r="406" spans="12:24">
      <c r="L406" s="27"/>
      <c r="M406" s="27"/>
      <c r="N406" s="27"/>
      <c r="O406" s="27"/>
      <c r="P406" s="27"/>
      <c r="Q406" s="27"/>
      <c r="R406" s="27"/>
      <c r="S406" s="27"/>
      <c r="T406" s="62"/>
      <c r="U406" s="62"/>
      <c r="V406" s="62"/>
      <c r="W406" s="62"/>
      <c r="X406" s="27"/>
    </row>
    <row r="407" spans="12:24">
      <c r="L407" s="27"/>
      <c r="M407" s="27"/>
      <c r="N407" s="27"/>
      <c r="O407" s="27"/>
      <c r="P407" s="27"/>
      <c r="Q407" s="27"/>
      <c r="R407" s="27"/>
      <c r="S407" s="27"/>
      <c r="T407" s="62"/>
      <c r="U407" s="62"/>
      <c r="V407" s="62"/>
      <c r="W407" s="62"/>
      <c r="X407" s="27"/>
    </row>
    <row r="408" spans="12:24">
      <c r="L408" s="27"/>
      <c r="M408" s="27"/>
      <c r="N408" s="27"/>
      <c r="O408" s="27"/>
      <c r="P408" s="27"/>
      <c r="Q408" s="27"/>
      <c r="R408" s="27"/>
      <c r="S408" s="27"/>
      <c r="T408" s="62"/>
      <c r="U408" s="62"/>
      <c r="V408" s="62"/>
      <c r="W408" s="62"/>
      <c r="X408" s="27"/>
    </row>
    <row r="409" spans="12:24">
      <c r="L409" s="27"/>
      <c r="M409" s="27"/>
      <c r="N409" s="27"/>
      <c r="O409" s="27"/>
      <c r="P409" s="27"/>
      <c r="Q409" s="27"/>
      <c r="R409" s="27"/>
      <c r="S409" s="27"/>
      <c r="T409" s="62"/>
      <c r="U409" s="62"/>
      <c r="V409" s="62"/>
      <c r="W409" s="62"/>
      <c r="X409" s="27"/>
    </row>
    <row r="410" spans="12:24">
      <c r="L410" s="27"/>
      <c r="M410" s="27"/>
      <c r="N410" s="27"/>
      <c r="O410" s="27"/>
      <c r="P410" s="27"/>
      <c r="Q410" s="27"/>
      <c r="R410" s="27"/>
      <c r="S410" s="27"/>
      <c r="T410" s="62"/>
      <c r="U410" s="62"/>
      <c r="V410" s="62"/>
      <c r="W410" s="62"/>
      <c r="X410" s="27"/>
    </row>
    <row r="411" spans="12:24">
      <c r="L411" s="27"/>
      <c r="M411" s="27"/>
      <c r="N411" s="27"/>
      <c r="O411" s="27"/>
      <c r="P411" s="27"/>
      <c r="Q411" s="27"/>
      <c r="R411" s="27"/>
      <c r="S411" s="27"/>
      <c r="T411" s="62"/>
      <c r="U411" s="62"/>
      <c r="V411" s="62"/>
      <c r="W411" s="62"/>
      <c r="X411" s="27"/>
    </row>
    <row r="412" spans="12:24"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</row>
    <row r="413" spans="12:24"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</row>
    <row r="414" spans="12:24"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</row>
    <row r="415" spans="12:24"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</row>
    <row r="416" spans="12:24"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</row>
    <row r="417" spans="9:24"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</row>
    <row r="418" spans="9:24"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</row>
    <row r="419" spans="9:24">
      <c r="L419" s="27"/>
    </row>
    <row r="420" spans="9:24">
      <c r="L420" s="27"/>
    </row>
    <row r="421" spans="9:24">
      <c r="L421" s="27"/>
    </row>
    <row r="422" spans="9:24">
      <c r="L422" s="27"/>
    </row>
    <row r="423" spans="9:24">
      <c r="L423" s="27"/>
    </row>
    <row r="424" spans="9:24">
      <c r="K424" s="27"/>
      <c r="L424" s="27"/>
    </row>
    <row r="425" spans="9:24">
      <c r="K425" s="27"/>
    </row>
    <row r="426" spans="9:24">
      <c r="I426" s="27"/>
      <c r="K426" s="27"/>
    </row>
    <row r="427" spans="9:24" ht="15">
      <c r="I427" s="27"/>
      <c r="L427" s="66"/>
    </row>
    <row r="428" spans="9:24">
      <c r="I428" s="27"/>
      <c r="L428" s="27"/>
    </row>
    <row r="429" spans="9:24">
      <c r="L429" s="27"/>
    </row>
    <row r="430" spans="9:24">
      <c r="L430" s="27"/>
    </row>
    <row r="431" spans="9:24">
      <c r="L431" s="27"/>
    </row>
    <row r="432" spans="9:24">
      <c r="L432" s="27"/>
    </row>
    <row r="433" spans="7:12">
      <c r="L433" s="27"/>
    </row>
    <row r="434" spans="7:12">
      <c r="L434" s="27"/>
    </row>
    <row r="435" spans="7:12">
      <c r="J435" s="27"/>
      <c r="L435" s="27"/>
    </row>
    <row r="436" spans="7:12">
      <c r="G436" s="27"/>
      <c r="J436" s="27"/>
      <c r="L436" s="27"/>
    </row>
    <row r="437" spans="7:12">
      <c r="J437" s="27"/>
      <c r="L437" s="27"/>
    </row>
    <row r="438" spans="7:12">
      <c r="L438" s="27"/>
    </row>
    <row r="439" spans="7:12">
      <c r="L439" s="27"/>
    </row>
    <row r="440" spans="7:12">
      <c r="L440" s="27"/>
    </row>
    <row r="441" spans="7:12">
      <c r="L441" s="27"/>
    </row>
    <row r="442" spans="7:12">
      <c r="L442" s="27"/>
    </row>
    <row r="443" spans="7:12">
      <c r="L443" s="27"/>
    </row>
    <row r="444" spans="7:12">
      <c r="H444" s="27"/>
      <c r="I444" s="27"/>
      <c r="L444" s="27"/>
    </row>
    <row r="445" spans="7:12">
      <c r="H445" s="27"/>
      <c r="L445" s="27"/>
    </row>
    <row r="446" spans="7:12">
      <c r="H446" s="27"/>
      <c r="I446" s="27"/>
      <c r="K446" s="27"/>
      <c r="L446" s="27"/>
    </row>
    <row r="447" spans="7:12">
      <c r="L447" s="27"/>
    </row>
    <row r="448" spans="7:12">
      <c r="G448" s="27"/>
      <c r="K448" s="27"/>
      <c r="L448" s="27"/>
    </row>
    <row r="449" spans="8:12">
      <c r="L449" s="27"/>
    </row>
    <row r="450" spans="8:12">
      <c r="L450" s="27"/>
    </row>
    <row r="451" spans="8:12">
      <c r="L451" s="27"/>
    </row>
    <row r="452" spans="8:12">
      <c r="L452" s="27"/>
    </row>
    <row r="453" spans="8:12">
      <c r="L453" s="27"/>
    </row>
    <row r="454" spans="8:12">
      <c r="L454" s="27"/>
    </row>
    <row r="455" spans="8:12">
      <c r="J455" s="27"/>
      <c r="L455" s="27"/>
    </row>
    <row r="456" spans="8:12">
      <c r="L456" s="27"/>
    </row>
    <row r="457" spans="8:12">
      <c r="H457" s="27"/>
      <c r="J457" s="27"/>
      <c r="L457" s="27"/>
    </row>
    <row r="458" spans="8:12">
      <c r="L458" s="27"/>
    </row>
    <row r="459" spans="8:12">
      <c r="H459" s="27"/>
      <c r="L459" s="27"/>
    </row>
    <row r="460" spans="8:12">
      <c r="L460" s="27"/>
    </row>
    <row r="461" spans="8:12">
      <c r="L461" s="27"/>
    </row>
    <row r="462" spans="8:12">
      <c r="L462" s="27"/>
    </row>
    <row r="463" spans="8:12">
      <c r="L463" s="27"/>
    </row>
    <row r="464" spans="8:12">
      <c r="L464" s="27"/>
    </row>
    <row r="465" spans="7:12">
      <c r="L465" s="27"/>
    </row>
    <row r="466" spans="7:12">
      <c r="L466" s="27"/>
    </row>
    <row r="467" spans="7:12">
      <c r="L467" s="27"/>
    </row>
    <row r="468" spans="7:12" ht="15">
      <c r="I468" s="66"/>
      <c r="L468" s="27"/>
    </row>
    <row r="469" spans="7:12" ht="15">
      <c r="G469" s="66"/>
      <c r="L469" s="27"/>
    </row>
    <row r="470" spans="7:12">
      <c r="L470" s="27"/>
    </row>
    <row r="471" spans="7:12">
      <c r="L471" s="27"/>
    </row>
    <row r="472" spans="7:12" ht="15">
      <c r="K472" s="66"/>
      <c r="L472" s="27"/>
    </row>
    <row r="474" spans="7:12" ht="15">
      <c r="L474" s="66"/>
    </row>
    <row r="475" spans="7:12">
      <c r="L475" s="27"/>
    </row>
    <row r="476" spans="7:12">
      <c r="L476" s="27"/>
    </row>
    <row r="477" spans="7:12" ht="15">
      <c r="J477" s="66"/>
      <c r="L477" s="27"/>
    </row>
    <row r="478" spans="7:12">
      <c r="L478" s="27"/>
    </row>
    <row r="479" spans="7:12">
      <c r="L479" s="27"/>
    </row>
    <row r="480" spans="7:12" ht="15">
      <c r="H480" s="66"/>
      <c r="L480" s="27"/>
    </row>
    <row r="481" spans="7:12">
      <c r="L481" s="27"/>
    </row>
    <row r="482" spans="7:12">
      <c r="L482" s="27"/>
    </row>
    <row r="483" spans="7:12">
      <c r="L483" s="27"/>
    </row>
    <row r="484" spans="7:12">
      <c r="L484" s="27"/>
    </row>
    <row r="485" spans="7:12">
      <c r="L485" s="27"/>
    </row>
    <row r="486" spans="7:12">
      <c r="L486" s="27"/>
    </row>
    <row r="487" spans="7:12">
      <c r="L487" s="27"/>
    </row>
    <row r="488" spans="7:12">
      <c r="L488" s="27"/>
    </row>
    <row r="489" spans="7:12">
      <c r="L489" s="27"/>
    </row>
    <row r="490" spans="7:12">
      <c r="L490" s="27"/>
    </row>
    <row r="491" spans="7:12">
      <c r="L491" s="27"/>
    </row>
    <row r="492" spans="7:12">
      <c r="L492" s="27"/>
    </row>
    <row r="493" spans="7:12">
      <c r="L493" s="27"/>
    </row>
    <row r="494" spans="7:12" ht="15">
      <c r="G494" s="66"/>
      <c r="L494" s="27"/>
    </row>
    <row r="495" spans="7:12">
      <c r="L495" s="27"/>
    </row>
    <row r="496" spans="7:12">
      <c r="L496" s="27"/>
    </row>
    <row r="497" spans="7:12">
      <c r="L497" s="27"/>
    </row>
    <row r="498" spans="7:12">
      <c r="L498" s="27"/>
    </row>
    <row r="499" spans="7:12">
      <c r="L499" s="27"/>
    </row>
    <row r="500" spans="7:12">
      <c r="K500" s="27"/>
      <c r="L500" s="27"/>
    </row>
    <row r="501" spans="7:12">
      <c r="I501" s="27"/>
      <c r="L501" s="27"/>
    </row>
    <row r="502" spans="7:12" ht="15">
      <c r="K502" s="66"/>
    </row>
    <row r="503" spans="7:12" ht="15">
      <c r="I503" s="66"/>
    </row>
    <row r="505" spans="7:12" ht="15">
      <c r="L505" s="66"/>
    </row>
    <row r="506" spans="7:12">
      <c r="H506" s="27"/>
      <c r="J506" s="27"/>
      <c r="L506" s="27"/>
    </row>
    <row r="507" spans="7:12">
      <c r="L507" s="27"/>
    </row>
    <row r="508" spans="7:12" ht="15">
      <c r="H508" s="66"/>
      <c r="J508" s="66"/>
      <c r="L508" s="27"/>
    </row>
    <row r="509" spans="7:12">
      <c r="L509" s="27"/>
    </row>
    <row r="510" spans="7:12">
      <c r="L510" s="27"/>
    </row>
    <row r="511" spans="7:12" ht="15">
      <c r="G511" s="66"/>
      <c r="L511" s="27"/>
    </row>
    <row r="512" spans="7:12">
      <c r="L512" s="27"/>
    </row>
    <row r="513" spans="7:12">
      <c r="L513" s="27"/>
    </row>
    <row r="514" spans="7:12">
      <c r="L514" s="27"/>
    </row>
    <row r="515" spans="7:12">
      <c r="L515" s="27"/>
    </row>
    <row r="516" spans="7:12">
      <c r="L516" s="27"/>
    </row>
    <row r="517" spans="7:12">
      <c r="L517" s="27"/>
    </row>
    <row r="518" spans="7:12">
      <c r="L518" s="27"/>
    </row>
    <row r="519" spans="7:12">
      <c r="L519" s="27"/>
    </row>
    <row r="520" spans="7:12" ht="15">
      <c r="I520" s="66"/>
      <c r="L520" s="27"/>
    </row>
    <row r="521" spans="7:12" ht="15">
      <c r="K521" s="66"/>
      <c r="L521" s="27"/>
    </row>
    <row r="522" spans="7:12">
      <c r="L522" s="27"/>
    </row>
    <row r="523" spans="7:12" ht="15">
      <c r="J523" s="66"/>
      <c r="L523" s="27"/>
    </row>
    <row r="524" spans="7:12" ht="15">
      <c r="H524" s="66"/>
      <c r="L524" s="27"/>
    </row>
    <row r="525" spans="7:12" ht="15">
      <c r="G525" s="66"/>
      <c r="L525" s="27"/>
    </row>
    <row r="527" spans="7:12" ht="15">
      <c r="L527" s="66"/>
    </row>
    <row r="528" spans="7:12">
      <c r="L528" s="27"/>
    </row>
    <row r="529" spans="7:12">
      <c r="I529" s="27"/>
      <c r="K529" s="27"/>
      <c r="L529" s="27"/>
    </row>
    <row r="530" spans="7:12">
      <c r="G530" s="27"/>
      <c r="J530" s="27"/>
      <c r="L530" s="27"/>
    </row>
    <row r="531" spans="7:12" ht="15">
      <c r="I531" s="66"/>
      <c r="K531" s="66"/>
      <c r="L531" s="27"/>
    </row>
    <row r="532" spans="7:12" ht="15">
      <c r="G532" s="66"/>
      <c r="J532" s="66"/>
      <c r="L532" s="27"/>
    </row>
    <row r="533" spans="7:12">
      <c r="L533" s="27"/>
    </row>
    <row r="534" spans="7:12">
      <c r="H534" s="27"/>
      <c r="L534" s="27"/>
    </row>
    <row r="535" spans="7:12">
      <c r="L535" s="27"/>
    </row>
    <row r="536" spans="7:12" ht="15">
      <c r="H536" s="66"/>
      <c r="J536" s="27"/>
    </row>
    <row r="537" spans="7:12" ht="15">
      <c r="I537" s="27"/>
      <c r="K537" s="27"/>
      <c r="L537" s="66"/>
    </row>
    <row r="538" spans="7:12" ht="15">
      <c r="H538" s="27"/>
      <c r="J538" s="66"/>
      <c r="L538" s="27"/>
    </row>
    <row r="539" spans="7:12" ht="15">
      <c r="I539" s="66"/>
      <c r="K539" s="66"/>
      <c r="L539" s="27"/>
    </row>
    <row r="540" spans="7:12" ht="15">
      <c r="H540" s="66"/>
      <c r="L540" s="27"/>
    </row>
    <row r="541" spans="7:12">
      <c r="L541" s="27"/>
    </row>
  </sheetData>
  <conditionalFormatting sqref="AE6:AE8">
    <cfRule type="expression" dxfId="44" priority="2">
      <formula>IF(AE$5=0,TRUE)</formula>
    </cfRule>
  </conditionalFormatting>
  <conditionalFormatting sqref="Y6:AD7 Y47:AD49 Y80:AD82 Y117:AD119 Y174:AD176 Y225:AD227 Y259:AD261 Y296:AD298 Y308:AD310 Y317:AD317">
    <cfRule type="expression" dxfId="43" priority="1">
      <formula>IF(Y$4=0,TRUE)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81" max="11" man="1"/>
    <brk id="118" max="11" man="1"/>
    <brk id="175" max="11" man="1"/>
    <brk id="226" max="11" man="1"/>
    <brk id="260" max="11" man="1"/>
    <brk id="29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M179"/>
  <sheetViews>
    <sheetView topLeftCell="A16" workbookViewId="0">
      <pane xSplit="1" ySplit="3" topLeftCell="U91" activePane="bottomRight" state="frozen"/>
      <selection activeCell="A16" sqref="A16"/>
      <selection pane="topRight" activeCell="B16" sqref="B16"/>
      <selection pane="bottomLeft" activeCell="A19" sqref="A19"/>
      <selection pane="bottomRight" activeCell="AK16" sqref="AK16"/>
    </sheetView>
  </sheetViews>
  <sheetFormatPr defaultRowHeight="12.75" outlineLevelRow="1"/>
  <cols>
    <col min="1" max="1" width="11.7109375" style="2" customWidth="1"/>
    <col min="2" max="2" width="10.28515625" style="2" bestFit="1" customWidth="1"/>
    <col min="3" max="7" width="10.140625" style="2" bestFit="1" customWidth="1"/>
    <col min="8" max="8" width="9.85546875" style="2" customWidth="1"/>
    <col min="9" max="9" width="10.140625" style="2" bestFit="1" customWidth="1"/>
    <col min="10" max="10" width="9.28515625" style="2" bestFit="1" customWidth="1"/>
    <col min="11" max="14" width="10.140625" style="2" bestFit="1" customWidth="1"/>
    <col min="15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9" hidden="1" outlineLevel="1">
      <c r="A1" s="41" t="s">
        <v>924</v>
      </c>
      <c r="B1" s="25">
        <f>B$42</f>
        <v>9</v>
      </c>
      <c r="C1" s="25">
        <f t="shared" ref="C1:R1" si="0">C$42</f>
        <v>14</v>
      </c>
      <c r="D1" s="25">
        <f t="shared" si="0"/>
        <v>10</v>
      </c>
      <c r="E1" s="25">
        <f t="shared" si="0"/>
        <v>17</v>
      </c>
      <c r="F1" s="25">
        <f t="shared" si="0"/>
        <v>15</v>
      </c>
      <c r="G1" s="25">
        <f t="shared" si="0"/>
        <v>3</v>
      </c>
      <c r="H1" s="25">
        <f t="shared" si="0"/>
        <v>8</v>
      </c>
      <c r="I1" s="25">
        <f t="shared" si="0"/>
        <v>5</v>
      </c>
      <c r="J1" s="25">
        <f t="shared" si="0"/>
        <v>1</v>
      </c>
      <c r="K1" s="25">
        <f t="shared" si="0"/>
        <v>7</v>
      </c>
      <c r="L1" s="25">
        <f t="shared" si="0"/>
        <v>11</v>
      </c>
      <c r="M1" s="25">
        <f t="shared" si="0"/>
        <v>4</v>
      </c>
      <c r="N1" s="25">
        <f t="shared" si="0"/>
        <v>16</v>
      </c>
      <c r="O1" s="25">
        <f t="shared" si="0"/>
        <v>2</v>
      </c>
      <c r="P1" s="25">
        <f t="shared" si="0"/>
        <v>13</v>
      </c>
      <c r="Q1" s="25">
        <f t="shared" si="0"/>
        <v>6</v>
      </c>
      <c r="R1" s="25">
        <f t="shared" si="0"/>
        <v>12</v>
      </c>
      <c r="T1" s="68" t="str">
        <f>A1</f>
        <v>TeamFormula1</v>
      </c>
      <c r="U1" s="69">
        <f t="shared" ref="U1:AK1" si="1">U$42</f>
        <v>9</v>
      </c>
      <c r="V1" s="69">
        <f t="shared" si="1"/>
        <v>14</v>
      </c>
      <c r="W1" s="69">
        <f t="shared" si="1"/>
        <v>10</v>
      </c>
      <c r="X1" s="69">
        <f t="shared" si="1"/>
        <v>16</v>
      </c>
      <c r="Y1" s="69" t="str">
        <f t="shared" si="1"/>
        <v xml:space="preserve">- </v>
      </c>
      <c r="Z1" s="69">
        <f t="shared" si="1"/>
        <v>3</v>
      </c>
      <c r="AA1" s="69">
        <f t="shared" si="1"/>
        <v>8</v>
      </c>
      <c r="AB1" s="69">
        <f t="shared" si="1"/>
        <v>5</v>
      </c>
      <c r="AC1" s="69">
        <f t="shared" si="1"/>
        <v>1</v>
      </c>
      <c r="AD1" s="69">
        <f t="shared" si="1"/>
        <v>7</v>
      </c>
      <c r="AE1" s="69">
        <f t="shared" si="1"/>
        <v>11</v>
      </c>
      <c r="AF1" s="69">
        <f t="shared" si="1"/>
        <v>4</v>
      </c>
      <c r="AG1" s="69">
        <f t="shared" si="1"/>
        <v>15</v>
      </c>
      <c r="AH1" s="69">
        <f t="shared" si="1"/>
        <v>2</v>
      </c>
      <c r="AI1" s="69">
        <f t="shared" si="1"/>
        <v>13</v>
      </c>
      <c r="AJ1" s="69">
        <f t="shared" si="1"/>
        <v>6</v>
      </c>
      <c r="AK1" s="69">
        <f t="shared" si="1"/>
        <v>12</v>
      </c>
      <c r="AM1" s="70" t="s">
        <v>925</v>
      </c>
    </row>
    <row r="2" spans="1:39" hidden="1" outlineLevel="1"/>
    <row r="3" spans="1:39" hidden="1" outlineLevel="1">
      <c r="A3" s="71"/>
      <c r="B3" s="72" t="s">
        <v>53</v>
      </c>
      <c r="C3" s="72" t="s">
        <v>84</v>
      </c>
      <c r="D3" s="72" t="s">
        <v>76</v>
      </c>
      <c r="E3" s="72" t="s">
        <v>412</v>
      </c>
      <c r="F3" s="72" t="s">
        <v>201</v>
      </c>
      <c r="G3" s="72" t="s">
        <v>38</v>
      </c>
      <c r="H3" s="72" t="s">
        <v>58</v>
      </c>
      <c r="I3" s="72" t="s">
        <v>66</v>
      </c>
      <c r="J3" s="72" t="s">
        <v>20</v>
      </c>
      <c r="K3" s="72" t="s">
        <v>26</v>
      </c>
      <c r="L3" s="72" t="s">
        <v>29</v>
      </c>
      <c r="M3" s="72" t="s">
        <v>50</v>
      </c>
      <c r="N3" s="72" t="s">
        <v>162</v>
      </c>
      <c r="O3" s="72" t="s">
        <v>62</v>
      </c>
      <c r="P3" s="72" t="s">
        <v>93</v>
      </c>
      <c r="Q3" s="72" t="s">
        <v>118</v>
      </c>
      <c r="R3" s="72" t="s">
        <v>47</v>
      </c>
      <c r="S3" s="71"/>
      <c r="T3" s="71"/>
      <c r="U3" s="72" t="s">
        <v>53</v>
      </c>
      <c r="V3" s="72" t="s">
        <v>84</v>
      </c>
      <c r="W3" s="72" t="s">
        <v>76</v>
      </c>
      <c r="X3" s="72" t="s">
        <v>412</v>
      </c>
      <c r="Y3" s="72" t="s">
        <v>201</v>
      </c>
      <c r="Z3" s="72" t="s">
        <v>38</v>
      </c>
      <c r="AA3" s="72" t="s">
        <v>58</v>
      </c>
      <c r="AB3" s="72" t="s">
        <v>66</v>
      </c>
      <c r="AC3" s="72" t="s">
        <v>20</v>
      </c>
      <c r="AD3" s="72" t="s">
        <v>26</v>
      </c>
      <c r="AE3" s="72" t="s">
        <v>29</v>
      </c>
      <c r="AF3" s="72" t="s">
        <v>50</v>
      </c>
      <c r="AG3" s="72" t="s">
        <v>162</v>
      </c>
      <c r="AH3" s="72" t="s">
        <v>62</v>
      </c>
      <c r="AI3" s="72" t="s">
        <v>93</v>
      </c>
      <c r="AJ3" s="72" t="s">
        <v>118</v>
      </c>
      <c r="AK3" s="72" t="s">
        <v>47</v>
      </c>
    </row>
    <row r="4" spans="1:39" hidden="1" outlineLevel="1">
      <c r="A4" s="1" t="s">
        <v>926</v>
      </c>
      <c r="B4" s="73" t="s">
        <v>1330</v>
      </c>
      <c r="C4" s="73" t="s">
        <v>1330</v>
      </c>
      <c r="D4" s="73" t="s">
        <v>1330</v>
      </c>
      <c r="E4" s="73" t="s">
        <v>1330</v>
      </c>
      <c r="F4" s="73" t="s">
        <v>1331</v>
      </c>
      <c r="G4" s="73" t="s">
        <v>1330</v>
      </c>
      <c r="H4" s="73" t="s">
        <v>1330</v>
      </c>
      <c r="I4" s="73" t="s">
        <v>1330</v>
      </c>
      <c r="J4" s="73" t="s">
        <v>1330</v>
      </c>
      <c r="K4" s="73" t="s">
        <v>1330</v>
      </c>
      <c r="L4" s="73" t="s">
        <v>1330</v>
      </c>
      <c r="M4" s="73" t="s">
        <v>1330</v>
      </c>
      <c r="N4" s="73" t="s">
        <v>1330</v>
      </c>
      <c r="O4" s="73" t="s">
        <v>1330</v>
      </c>
      <c r="P4" s="73" t="s">
        <v>1330</v>
      </c>
      <c r="Q4" s="73" t="s">
        <v>1330</v>
      </c>
      <c r="R4" s="73" t="s">
        <v>1330</v>
      </c>
      <c r="T4" s="1" t="s">
        <v>926</v>
      </c>
      <c r="U4" s="73" t="s">
        <v>1330</v>
      </c>
      <c r="V4" s="73" t="s">
        <v>1330</v>
      </c>
      <c r="W4" s="73" t="s">
        <v>1330</v>
      </c>
      <c r="X4" s="73" t="s">
        <v>1330</v>
      </c>
      <c r="Y4" s="73" t="s">
        <v>1331</v>
      </c>
      <c r="Z4" s="73" t="s">
        <v>1330</v>
      </c>
      <c r="AA4" s="73" t="s">
        <v>1330</v>
      </c>
      <c r="AB4" s="73" t="s">
        <v>1330</v>
      </c>
      <c r="AC4" s="73" t="s">
        <v>1330</v>
      </c>
      <c r="AD4" s="73" t="s">
        <v>1330</v>
      </c>
      <c r="AE4" s="73" t="s">
        <v>1330</v>
      </c>
      <c r="AF4" s="73" t="s">
        <v>1330</v>
      </c>
      <c r="AG4" s="73" t="s">
        <v>1330</v>
      </c>
      <c r="AH4" s="73" t="s">
        <v>1330</v>
      </c>
      <c r="AI4" s="73">
        <v>0</v>
      </c>
      <c r="AJ4" s="73" t="s">
        <v>1330</v>
      </c>
      <c r="AK4" s="73" t="s">
        <v>1330</v>
      </c>
      <c r="AL4" s="71"/>
    </row>
    <row r="5" spans="1:39" hidden="1" outlineLevel="1">
      <c r="A5" s="71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Q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 t="e">
        <f>#REF!+1</f>
        <v>#REF!</v>
      </c>
      <c r="T5" s="71"/>
      <c r="U5" s="29">
        <f>T5+1</f>
        <v>1</v>
      </c>
      <c r="V5" s="29">
        <f>U5+1</f>
        <v>2</v>
      </c>
      <c r="W5" s="29">
        <f>V5+1</f>
        <v>3</v>
      </c>
      <c r="X5" s="29">
        <f>V5+1</f>
        <v>3</v>
      </c>
      <c r="Y5" s="29">
        <f t="shared" ref="Y5:AE5" si="3">X5+1</f>
        <v>4</v>
      </c>
      <c r="Z5" s="29">
        <f t="shared" si="3"/>
        <v>5</v>
      </c>
      <c r="AA5" s="29">
        <f t="shared" si="3"/>
        <v>6</v>
      </c>
      <c r="AB5" s="29">
        <f t="shared" si="3"/>
        <v>7</v>
      </c>
      <c r="AC5" s="29">
        <f t="shared" si="3"/>
        <v>8</v>
      </c>
      <c r="AD5" s="29">
        <f t="shared" si="3"/>
        <v>9</v>
      </c>
      <c r="AE5" s="29">
        <f t="shared" si="3"/>
        <v>10</v>
      </c>
      <c r="AF5" s="29">
        <f>AE5+1</f>
        <v>11</v>
      </c>
      <c r="AG5" s="29">
        <f>AF5+1</f>
        <v>12</v>
      </c>
      <c r="AH5" s="29">
        <f>AG5+1</f>
        <v>13</v>
      </c>
      <c r="AI5" s="29">
        <f>AH5+1</f>
        <v>14</v>
      </c>
      <c r="AJ5" s="29">
        <f>AI5+1</f>
        <v>15</v>
      </c>
      <c r="AK5" s="29" t="e">
        <f>#REF!+1</f>
        <v>#REF!</v>
      </c>
    </row>
    <row r="6" spans="1:39" hidden="1" outlineLevel="1">
      <c r="A6" s="1" t="s">
        <v>927</v>
      </c>
      <c r="B6" s="74">
        <f>B40</f>
        <v>3081</v>
      </c>
      <c r="C6" s="74">
        <f t="shared" ref="C6:R6" si="4">C40</f>
        <v>3558</v>
      </c>
      <c r="D6" s="74">
        <f>D40</f>
        <v>3105</v>
      </c>
      <c r="E6" s="74">
        <f t="shared" si="4"/>
        <v>4320</v>
      </c>
      <c r="F6" s="74">
        <f t="shared" si="4"/>
        <v>3874</v>
      </c>
      <c r="G6" s="74">
        <f t="shared" si="4"/>
        <v>2632</v>
      </c>
      <c r="H6" s="74">
        <f t="shared" si="4"/>
        <v>3059</v>
      </c>
      <c r="I6" s="74">
        <f t="shared" si="4"/>
        <v>2717</v>
      </c>
      <c r="J6" s="74">
        <f t="shared" si="4"/>
        <v>1389</v>
      </c>
      <c r="K6" s="74">
        <f t="shared" si="4"/>
        <v>2902</v>
      </c>
      <c r="L6" s="74">
        <f t="shared" si="4"/>
        <v>3142</v>
      </c>
      <c r="M6" s="74">
        <f t="shared" si="4"/>
        <v>2642</v>
      </c>
      <c r="N6" s="74">
        <f t="shared" si="4"/>
        <v>4175</v>
      </c>
      <c r="O6" s="74">
        <f t="shared" si="4"/>
        <v>1986</v>
      </c>
      <c r="P6" s="74">
        <f t="shared" si="4"/>
        <v>3541</v>
      </c>
      <c r="Q6" s="74">
        <f t="shared" si="4"/>
        <v>2761</v>
      </c>
      <c r="R6" s="74">
        <f t="shared" si="4"/>
        <v>3265</v>
      </c>
      <c r="T6" s="1" t="s">
        <v>927</v>
      </c>
      <c r="U6" s="74">
        <f>U40</f>
        <v>3081</v>
      </c>
      <c r="V6" s="74">
        <f>V40</f>
        <v>3558</v>
      </c>
      <c r="W6" s="74">
        <f>W40</f>
        <v>3105</v>
      </c>
      <c r="X6" s="74">
        <f>X40</f>
        <v>4320</v>
      </c>
      <c r="Y6" s="74" t="str">
        <f>IF(Y$4="N","-",Y40)</f>
        <v>-</v>
      </c>
      <c r="Z6" s="74">
        <f t="shared" ref="Z6:AK6" si="5">Z40</f>
        <v>2632</v>
      </c>
      <c r="AA6" s="74">
        <f t="shared" si="5"/>
        <v>3059</v>
      </c>
      <c r="AB6" s="74">
        <f t="shared" si="5"/>
        <v>2717</v>
      </c>
      <c r="AC6" s="74">
        <f t="shared" si="5"/>
        <v>1389</v>
      </c>
      <c r="AD6" s="74">
        <f t="shared" si="5"/>
        <v>2902</v>
      </c>
      <c r="AE6" s="74">
        <f t="shared" si="5"/>
        <v>3142</v>
      </c>
      <c r="AF6" s="74">
        <f t="shared" si="5"/>
        <v>2642</v>
      </c>
      <c r="AG6" s="74">
        <f t="shared" si="5"/>
        <v>4175</v>
      </c>
      <c r="AH6" s="74">
        <f t="shared" si="5"/>
        <v>1986</v>
      </c>
      <c r="AI6" s="74">
        <f t="shared" si="5"/>
        <v>3541</v>
      </c>
      <c r="AJ6" s="74">
        <f t="shared" si="5"/>
        <v>2761</v>
      </c>
      <c r="AK6" s="74">
        <f t="shared" si="5"/>
        <v>3265</v>
      </c>
    </row>
    <row r="7" spans="1:39" hidden="1" outlineLevel="1">
      <c r="A7" s="1" t="s">
        <v>928</v>
      </c>
      <c r="B7" s="75">
        <f t="shared" ref="B7:R7" si="6">IF(SUM($A6:$S6)=0,0,COUNTIF($A6:$S6,"&lt;"&amp;B6)+1)</f>
        <v>9</v>
      </c>
      <c r="C7" s="75">
        <f t="shared" si="6"/>
        <v>14</v>
      </c>
      <c r="D7" s="75">
        <f t="shared" si="6"/>
        <v>10</v>
      </c>
      <c r="E7" s="75">
        <f t="shared" si="6"/>
        <v>17</v>
      </c>
      <c r="F7" s="75">
        <f t="shared" si="6"/>
        <v>15</v>
      </c>
      <c r="G7" s="75">
        <f t="shared" si="6"/>
        <v>3</v>
      </c>
      <c r="H7" s="75">
        <f t="shared" si="6"/>
        <v>8</v>
      </c>
      <c r="I7" s="75">
        <f t="shared" si="6"/>
        <v>5</v>
      </c>
      <c r="J7" s="75">
        <f t="shared" si="6"/>
        <v>1</v>
      </c>
      <c r="K7" s="75">
        <f t="shared" si="6"/>
        <v>7</v>
      </c>
      <c r="L7" s="75">
        <f t="shared" si="6"/>
        <v>11</v>
      </c>
      <c r="M7" s="75">
        <f t="shared" si="6"/>
        <v>4</v>
      </c>
      <c r="N7" s="75">
        <f t="shared" si="6"/>
        <v>16</v>
      </c>
      <c r="O7" s="75">
        <f t="shared" si="6"/>
        <v>2</v>
      </c>
      <c r="P7" s="75">
        <f t="shared" si="6"/>
        <v>13</v>
      </c>
      <c r="Q7" s="75">
        <f t="shared" si="6"/>
        <v>6</v>
      </c>
      <c r="R7" s="75">
        <f t="shared" si="6"/>
        <v>12</v>
      </c>
      <c r="T7" s="1" t="s">
        <v>928</v>
      </c>
      <c r="U7" s="75">
        <f t="shared" ref="U7:AK7" si="7">IF(SUM($T6:$AL6)=0,0,IF(U$4="N","-",COUNTIF($T6:$AL6,"&lt;"&amp;U6)+1))</f>
        <v>9</v>
      </c>
      <c r="V7" s="75">
        <f t="shared" si="7"/>
        <v>14</v>
      </c>
      <c r="W7" s="75">
        <f t="shared" si="7"/>
        <v>10</v>
      </c>
      <c r="X7" s="75">
        <f t="shared" si="7"/>
        <v>16</v>
      </c>
      <c r="Y7" s="75" t="str">
        <f t="shared" si="7"/>
        <v>-</v>
      </c>
      <c r="Z7" s="75">
        <f t="shared" si="7"/>
        <v>3</v>
      </c>
      <c r="AA7" s="75">
        <f t="shared" si="7"/>
        <v>8</v>
      </c>
      <c r="AB7" s="75">
        <f t="shared" si="7"/>
        <v>5</v>
      </c>
      <c r="AC7" s="75">
        <f t="shared" si="7"/>
        <v>1</v>
      </c>
      <c r="AD7" s="75">
        <f t="shared" si="7"/>
        <v>7</v>
      </c>
      <c r="AE7" s="75">
        <f t="shared" si="7"/>
        <v>11</v>
      </c>
      <c r="AF7" s="75">
        <f t="shared" si="7"/>
        <v>4</v>
      </c>
      <c r="AG7" s="75">
        <f t="shared" si="7"/>
        <v>15</v>
      </c>
      <c r="AH7" s="75">
        <f t="shared" si="7"/>
        <v>2</v>
      </c>
      <c r="AI7" s="75">
        <f t="shared" si="7"/>
        <v>13</v>
      </c>
      <c r="AJ7" s="75">
        <f t="shared" si="7"/>
        <v>6</v>
      </c>
      <c r="AK7" s="75">
        <f t="shared" si="7"/>
        <v>12</v>
      </c>
    </row>
    <row r="8" spans="1:39" hidden="1" outlineLevel="1">
      <c r="A8" s="1" t="s">
        <v>5</v>
      </c>
      <c r="B8" s="74">
        <f t="shared" ref="B8:R8" si="8">B7-B42</f>
        <v>0</v>
      </c>
      <c r="C8" s="74">
        <f t="shared" si="8"/>
        <v>0</v>
      </c>
      <c r="D8" s="74">
        <f>D7-D42</f>
        <v>0</v>
      </c>
      <c r="E8" s="74">
        <f t="shared" si="8"/>
        <v>0</v>
      </c>
      <c r="F8" s="74">
        <f t="shared" si="8"/>
        <v>0</v>
      </c>
      <c r="G8" s="74">
        <f t="shared" si="8"/>
        <v>0</v>
      </c>
      <c r="H8" s="74">
        <f t="shared" si="8"/>
        <v>0</v>
      </c>
      <c r="I8" s="74">
        <f t="shared" si="8"/>
        <v>0</v>
      </c>
      <c r="J8" s="74">
        <f t="shared" si="8"/>
        <v>0</v>
      </c>
      <c r="K8" s="74">
        <f t="shared" si="8"/>
        <v>0</v>
      </c>
      <c r="L8" s="74">
        <f t="shared" si="8"/>
        <v>0</v>
      </c>
      <c r="M8" s="74">
        <f t="shared" si="8"/>
        <v>0</v>
      </c>
      <c r="N8" s="74">
        <f t="shared" si="8"/>
        <v>0</v>
      </c>
      <c r="O8" s="74">
        <f t="shared" si="8"/>
        <v>0</v>
      </c>
      <c r="P8" s="74">
        <f t="shared" si="8"/>
        <v>0</v>
      </c>
      <c r="Q8" s="74">
        <f t="shared" si="8"/>
        <v>0</v>
      </c>
      <c r="R8" s="74">
        <f t="shared" si="8"/>
        <v>0</v>
      </c>
      <c r="T8" s="1" t="s">
        <v>5</v>
      </c>
      <c r="U8" s="74">
        <f t="shared" ref="U8:AK8" si="9">IF(U$4="N",0,U7-U42)</f>
        <v>0</v>
      </c>
      <c r="V8" s="74">
        <f t="shared" si="9"/>
        <v>0</v>
      </c>
      <c r="W8" s="74">
        <f>IF(W$4="N",0,W7-W42)</f>
        <v>0</v>
      </c>
      <c r="X8" s="74">
        <f t="shared" si="9"/>
        <v>0</v>
      </c>
      <c r="Y8" s="74">
        <f t="shared" si="9"/>
        <v>0</v>
      </c>
      <c r="Z8" s="74">
        <f t="shared" si="9"/>
        <v>0</v>
      </c>
      <c r="AA8" s="74">
        <f t="shared" si="9"/>
        <v>0</v>
      </c>
      <c r="AB8" s="74">
        <f t="shared" si="9"/>
        <v>0</v>
      </c>
      <c r="AC8" s="74">
        <f t="shared" si="9"/>
        <v>0</v>
      </c>
      <c r="AD8" s="74">
        <f t="shared" si="9"/>
        <v>0</v>
      </c>
      <c r="AE8" s="74">
        <f t="shared" si="9"/>
        <v>0</v>
      </c>
      <c r="AF8" s="74">
        <f t="shared" si="9"/>
        <v>0</v>
      </c>
      <c r="AG8" s="74">
        <f t="shared" si="9"/>
        <v>0</v>
      </c>
      <c r="AH8" s="74">
        <f t="shared" si="9"/>
        <v>0</v>
      </c>
      <c r="AI8" s="74">
        <f t="shared" si="9"/>
        <v>0</v>
      </c>
      <c r="AJ8" s="74">
        <f t="shared" si="9"/>
        <v>0</v>
      </c>
      <c r="AK8" s="74">
        <f t="shared" si="9"/>
        <v>0</v>
      </c>
    </row>
    <row r="9" spans="1:39" ht="13.5" hidden="1" outlineLevel="1" thickBot="1">
      <c r="A9" s="76" t="s">
        <v>5</v>
      </c>
      <c r="B9" s="77">
        <f>SUM(A8:AL8)</f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T9" s="1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</row>
    <row r="10" spans="1:39" hidden="1" outlineLevel="1">
      <c r="A10" s="1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T10" s="1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</row>
    <row r="11" spans="1:39" hidden="1" outlineLevel="1">
      <c r="A11" s="1" t="s">
        <v>927</v>
      </c>
      <c r="B11" s="74">
        <f ca="1">B56</f>
        <v>39</v>
      </c>
      <c r="C11" s="74">
        <f t="shared" ref="C11:R11" ca="1" si="10">C56</f>
        <v>76</v>
      </c>
      <c r="D11" s="74">
        <f ca="1">D56</f>
        <v>59</v>
      </c>
      <c r="E11" s="74">
        <f t="shared" ca="1" si="10"/>
        <v>75</v>
      </c>
      <c r="F11" s="74">
        <f t="shared" ca="1" si="10"/>
        <v>68</v>
      </c>
      <c r="G11" s="74">
        <f t="shared" ca="1" si="10"/>
        <v>16</v>
      </c>
      <c r="H11" s="74">
        <f t="shared" ca="1" si="10"/>
        <v>28</v>
      </c>
      <c r="I11" s="74">
        <f t="shared" ca="1" si="10"/>
        <v>32</v>
      </c>
      <c r="J11" s="74">
        <f t="shared" ca="1" si="10"/>
        <v>5</v>
      </c>
      <c r="K11" s="74">
        <f t="shared" ca="1" si="10"/>
        <v>32</v>
      </c>
      <c r="L11" s="74">
        <f t="shared" ca="1" si="10"/>
        <v>59</v>
      </c>
      <c r="M11" s="74">
        <f t="shared" ca="1" si="10"/>
        <v>15</v>
      </c>
      <c r="N11" s="74">
        <f t="shared" ca="1" si="10"/>
        <v>70</v>
      </c>
      <c r="O11" s="74">
        <f t="shared" ca="1" si="10"/>
        <v>16</v>
      </c>
      <c r="P11" s="74">
        <f t="shared" ca="1" si="10"/>
        <v>62</v>
      </c>
      <c r="Q11" s="74">
        <f t="shared" ca="1" si="10"/>
        <v>51</v>
      </c>
      <c r="R11" s="74">
        <f t="shared" ca="1" si="10"/>
        <v>62</v>
      </c>
      <c r="T11" s="1" t="s">
        <v>927</v>
      </c>
      <c r="U11" s="80">
        <f t="shared" ref="U11:AK11" ca="1" si="11">IF(U$4="N","-",U56)</f>
        <v>39</v>
      </c>
      <c r="V11" s="80">
        <f t="shared" ca="1" si="11"/>
        <v>73</v>
      </c>
      <c r="W11" s="80">
        <f ca="1">IF(W$4="N","-",W56)</f>
        <v>58</v>
      </c>
      <c r="X11" s="80">
        <f t="shared" ca="1" si="11"/>
        <v>71</v>
      </c>
      <c r="Y11" s="80" t="str">
        <f t="shared" si="11"/>
        <v>-</v>
      </c>
      <c r="Z11" s="80">
        <f t="shared" ca="1" si="11"/>
        <v>16</v>
      </c>
      <c r="AA11" s="80">
        <f t="shared" ca="1" si="11"/>
        <v>28</v>
      </c>
      <c r="AB11" s="80">
        <f t="shared" ca="1" si="11"/>
        <v>32</v>
      </c>
      <c r="AC11" s="80">
        <f t="shared" ca="1" si="11"/>
        <v>5</v>
      </c>
      <c r="AD11" s="80">
        <f t="shared" ca="1" si="11"/>
        <v>32</v>
      </c>
      <c r="AE11" s="80">
        <f t="shared" ca="1" si="11"/>
        <v>57</v>
      </c>
      <c r="AF11" s="80">
        <f t="shared" ca="1" si="11"/>
        <v>15</v>
      </c>
      <c r="AG11" s="80">
        <f t="shared" ca="1" si="11"/>
        <v>68</v>
      </c>
      <c r="AH11" s="80">
        <f t="shared" ca="1" si="11"/>
        <v>16</v>
      </c>
      <c r="AI11" s="80">
        <f t="shared" ca="1" si="11"/>
        <v>60</v>
      </c>
      <c r="AJ11" s="80">
        <f t="shared" ca="1" si="11"/>
        <v>50</v>
      </c>
      <c r="AK11" s="80">
        <f t="shared" ca="1" si="11"/>
        <v>60</v>
      </c>
      <c r="AL11" s="81"/>
    </row>
    <row r="12" spans="1:39" hidden="1" outlineLevel="1">
      <c r="A12" s="1" t="s">
        <v>928</v>
      </c>
      <c r="B12" s="75">
        <f t="shared" ref="B12:R12" ca="1" si="12">COUNTIF($A11:$S11,"&lt;"&amp;B11)+1</f>
        <v>8</v>
      </c>
      <c r="C12" s="75">
        <f t="shared" ca="1" si="12"/>
        <v>17</v>
      </c>
      <c r="D12" s="75">
        <f t="shared" ca="1" si="12"/>
        <v>10</v>
      </c>
      <c r="E12" s="75">
        <f t="shared" ca="1" si="12"/>
        <v>16</v>
      </c>
      <c r="F12" s="75">
        <f t="shared" ca="1" si="12"/>
        <v>14</v>
      </c>
      <c r="G12" s="75">
        <f t="shared" ca="1" si="12"/>
        <v>3</v>
      </c>
      <c r="H12" s="75">
        <f t="shared" ca="1" si="12"/>
        <v>5</v>
      </c>
      <c r="I12" s="75">
        <f t="shared" ca="1" si="12"/>
        <v>6</v>
      </c>
      <c r="J12" s="75">
        <f t="shared" ca="1" si="12"/>
        <v>1</v>
      </c>
      <c r="K12" s="75">
        <f t="shared" ca="1" si="12"/>
        <v>6</v>
      </c>
      <c r="L12" s="75">
        <f t="shared" ca="1" si="12"/>
        <v>10</v>
      </c>
      <c r="M12" s="75">
        <f t="shared" ca="1" si="12"/>
        <v>2</v>
      </c>
      <c r="N12" s="75">
        <f t="shared" ca="1" si="12"/>
        <v>15</v>
      </c>
      <c r="O12" s="75">
        <f t="shared" ca="1" si="12"/>
        <v>3</v>
      </c>
      <c r="P12" s="75">
        <f t="shared" ca="1" si="12"/>
        <v>12</v>
      </c>
      <c r="Q12" s="75">
        <f t="shared" ca="1" si="12"/>
        <v>9</v>
      </c>
      <c r="R12" s="75">
        <f t="shared" ca="1" si="12"/>
        <v>12</v>
      </c>
      <c r="T12" s="1" t="s">
        <v>928</v>
      </c>
      <c r="U12" s="75">
        <f t="shared" ref="U12:AK12" ca="1" si="13">IF(U$4="N","-",COUNTIF($T11:$AL11,"&lt;"&amp;U11)+1)</f>
        <v>8</v>
      </c>
      <c r="V12" s="75">
        <f t="shared" ca="1" si="13"/>
        <v>16</v>
      </c>
      <c r="W12" s="75">
        <f t="shared" ca="1" si="13"/>
        <v>11</v>
      </c>
      <c r="X12" s="75">
        <f t="shared" ca="1" si="13"/>
        <v>15</v>
      </c>
      <c r="Y12" s="75" t="str">
        <f t="shared" si="13"/>
        <v>-</v>
      </c>
      <c r="Z12" s="75">
        <f t="shared" ca="1" si="13"/>
        <v>3</v>
      </c>
      <c r="AA12" s="75">
        <f t="shared" ca="1" si="13"/>
        <v>5</v>
      </c>
      <c r="AB12" s="75">
        <f t="shared" ca="1" si="13"/>
        <v>6</v>
      </c>
      <c r="AC12" s="75">
        <f t="shared" ca="1" si="13"/>
        <v>1</v>
      </c>
      <c r="AD12" s="75">
        <f t="shared" ca="1" si="13"/>
        <v>6</v>
      </c>
      <c r="AE12" s="75">
        <f t="shared" ca="1" si="13"/>
        <v>10</v>
      </c>
      <c r="AF12" s="75">
        <f t="shared" ca="1" si="13"/>
        <v>2</v>
      </c>
      <c r="AG12" s="75">
        <f t="shared" ca="1" si="13"/>
        <v>14</v>
      </c>
      <c r="AH12" s="75">
        <f t="shared" ca="1" si="13"/>
        <v>3</v>
      </c>
      <c r="AI12" s="75">
        <f t="shared" ca="1" si="13"/>
        <v>12</v>
      </c>
      <c r="AJ12" s="75">
        <f t="shared" ca="1" si="13"/>
        <v>9</v>
      </c>
      <c r="AK12" s="75">
        <f t="shared" ca="1" si="13"/>
        <v>12</v>
      </c>
    </row>
    <row r="13" spans="1:39" hidden="1" outlineLevel="1">
      <c r="A13" s="1" t="s">
        <v>5</v>
      </c>
      <c r="B13" s="82">
        <f t="shared" ref="B13:R13" ca="1" si="14">B12-B57</f>
        <v>0</v>
      </c>
      <c r="C13" s="82">
        <f t="shared" ca="1" si="14"/>
        <v>0</v>
      </c>
      <c r="D13" s="82">
        <f ca="1">D12-D57</f>
        <v>0</v>
      </c>
      <c r="E13" s="82">
        <f t="shared" ca="1" si="14"/>
        <v>0</v>
      </c>
      <c r="F13" s="82">
        <f t="shared" ca="1" si="14"/>
        <v>0</v>
      </c>
      <c r="G13" s="82">
        <f t="shared" ca="1" si="14"/>
        <v>0</v>
      </c>
      <c r="H13" s="82">
        <f t="shared" ca="1" si="14"/>
        <v>0</v>
      </c>
      <c r="I13" s="82">
        <f t="shared" ca="1" si="14"/>
        <v>0</v>
      </c>
      <c r="J13" s="82">
        <f t="shared" ca="1" si="14"/>
        <v>0</v>
      </c>
      <c r="K13" s="82">
        <f t="shared" ca="1" si="14"/>
        <v>0</v>
      </c>
      <c r="L13" s="82">
        <f t="shared" ca="1" si="14"/>
        <v>0</v>
      </c>
      <c r="M13" s="82">
        <f t="shared" ca="1" si="14"/>
        <v>0</v>
      </c>
      <c r="N13" s="82">
        <f t="shared" ca="1" si="14"/>
        <v>0</v>
      </c>
      <c r="O13" s="82">
        <f t="shared" ca="1" si="14"/>
        <v>0</v>
      </c>
      <c r="P13" s="82">
        <f t="shared" ca="1" si="14"/>
        <v>0</v>
      </c>
      <c r="Q13" s="82">
        <f t="shared" ca="1" si="14"/>
        <v>0</v>
      </c>
      <c r="R13" s="82">
        <f t="shared" ca="1" si="14"/>
        <v>0</v>
      </c>
      <c r="T13" s="1" t="s">
        <v>5</v>
      </c>
      <c r="U13" s="74">
        <f ca="1">IF(U$4="N",0,U12-U57)</f>
        <v>0</v>
      </c>
      <c r="V13" s="74">
        <f t="shared" ref="V13:AK13" ca="1" si="15">IF(V$4="N",0,V12-V57)</f>
        <v>0</v>
      </c>
      <c r="W13" s="74">
        <f ca="1">IF(W$4="N",0,W12-W57)</f>
        <v>0</v>
      </c>
      <c r="X13" s="74">
        <f t="shared" ca="1" si="15"/>
        <v>0</v>
      </c>
      <c r="Y13" s="74">
        <f t="shared" si="15"/>
        <v>0</v>
      </c>
      <c r="Z13" s="74">
        <f t="shared" ca="1" si="15"/>
        <v>0</v>
      </c>
      <c r="AA13" s="74">
        <f t="shared" ca="1" si="15"/>
        <v>0</v>
      </c>
      <c r="AB13" s="74">
        <f t="shared" ca="1" si="15"/>
        <v>0</v>
      </c>
      <c r="AC13" s="74">
        <f t="shared" ca="1" si="15"/>
        <v>0</v>
      </c>
      <c r="AD13" s="74">
        <f t="shared" ca="1" si="15"/>
        <v>0</v>
      </c>
      <c r="AE13" s="74">
        <f t="shared" ca="1" si="15"/>
        <v>0</v>
      </c>
      <c r="AF13" s="74">
        <f t="shared" ca="1" si="15"/>
        <v>0</v>
      </c>
      <c r="AG13" s="74">
        <f t="shared" ca="1" si="15"/>
        <v>0</v>
      </c>
      <c r="AH13" s="74">
        <f t="shared" ca="1" si="15"/>
        <v>0</v>
      </c>
      <c r="AI13" s="74">
        <f t="shared" ca="1" si="15"/>
        <v>0</v>
      </c>
      <c r="AJ13" s="74">
        <f t="shared" ca="1" si="15"/>
        <v>0</v>
      </c>
      <c r="AK13" s="74">
        <f t="shared" ca="1" si="15"/>
        <v>0</v>
      </c>
    </row>
    <row r="14" spans="1:39" ht="13.5" hidden="1" outlineLevel="1" thickBot="1">
      <c r="A14" s="76" t="s">
        <v>5</v>
      </c>
      <c r="B14" s="77">
        <f ca="1">SUM(A13:AL13)</f>
        <v>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T14" s="1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</row>
    <row r="15" spans="1:39" hidden="1" outlineLevel="1">
      <c r="A15" s="83" t="s">
        <v>1340</v>
      </c>
      <c r="B15" s="8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T15" s="83" t="s">
        <v>1340</v>
      </c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3"/>
      <c r="AK15" s="79"/>
    </row>
    <row r="16" spans="1:39" ht="26.25" collapsed="1">
      <c r="A16" s="15" t="s">
        <v>1320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4"/>
      <c r="M16" s="84"/>
      <c r="N16" s="85"/>
      <c r="O16" s="86"/>
      <c r="P16" s="86"/>
      <c r="R16" s="87" t="s">
        <v>1341</v>
      </c>
      <c r="T16" s="15" t="s">
        <v>1320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84"/>
      <c r="AF16" s="18"/>
      <c r="AG16" s="18"/>
      <c r="AH16" s="86"/>
      <c r="AI16" s="86"/>
      <c r="AJ16" s="86"/>
      <c r="AK16" s="87" t="s">
        <v>1341</v>
      </c>
    </row>
    <row r="17" spans="1:37">
      <c r="A17" s="26" t="str">
        <f>"ALL CLUBS: "&amp;COUNTA(A3:S3)&amp;" TEAMS (note awards are based on table excluding non East Sussex Clubs)"</f>
        <v>ALL CLUBS: 17 TEAMS (note awards are based on table excluding non East Sussex Clubs)</v>
      </c>
      <c r="T17" s="26" t="str">
        <f>"EAST SUSSEX CLUBS: "&amp;COUNTIF(T4:AL4,"Y")&amp;" TEAMS (Only East Sussex Teams qualify for awards: awards are awarded as per this table)"</f>
        <v>EAST SUSSEX CLUBS: 15 TEAMS (Only East Sussex Teams qualify for awards: awards are awarded as per this table)</v>
      </c>
    </row>
    <row r="18" spans="1:37">
      <c r="A18" s="52" t="s">
        <v>929</v>
      </c>
      <c r="B18" s="52" t="str">
        <f>B$3</f>
        <v>A80</v>
      </c>
      <c r="C18" s="52" t="str">
        <f t="shared" ref="C18:R18" si="16">C$3</f>
        <v>BEX</v>
      </c>
      <c r="D18" s="52" t="str">
        <f t="shared" si="16"/>
        <v>FRONTR</v>
      </c>
      <c r="E18" s="52" t="str">
        <f t="shared" si="16"/>
        <v>BTNTRI</v>
      </c>
      <c r="F18" s="52" t="str">
        <f t="shared" si="16"/>
        <v>CPA</v>
      </c>
      <c r="G18" s="52" t="str">
        <f t="shared" si="16"/>
        <v>CROW</v>
      </c>
      <c r="H18" s="52" t="str">
        <f t="shared" si="16"/>
        <v>EAST/BDY</v>
      </c>
      <c r="I18" s="52" t="str">
        <f t="shared" si="16"/>
        <v>HAIL</v>
      </c>
      <c r="J18" s="52" t="str">
        <f t="shared" si="16"/>
        <v>HR/HAC</v>
      </c>
      <c r="K18" s="52" t="str">
        <f t="shared" si="16"/>
        <v>HTH/UCK</v>
      </c>
      <c r="L18" s="52" t="str">
        <f t="shared" si="16"/>
        <v>HYR</v>
      </c>
      <c r="M18" s="52" t="str">
        <f t="shared" si="16"/>
        <v>LEW</v>
      </c>
      <c r="N18" s="52" t="str">
        <f t="shared" si="16"/>
        <v>MEAD</v>
      </c>
      <c r="O18" s="52" t="str">
        <f t="shared" si="16"/>
        <v>PSST</v>
      </c>
      <c r="P18" s="52" t="str">
        <f t="shared" si="16"/>
        <v>HEDGE</v>
      </c>
      <c r="Q18" s="52" t="str">
        <f t="shared" si="16"/>
        <v>RUNW</v>
      </c>
      <c r="R18" s="52" t="str">
        <f t="shared" si="16"/>
        <v>WAD</v>
      </c>
      <c r="T18" s="52" t="s">
        <v>929</v>
      </c>
      <c r="U18" s="52" t="str">
        <f>U$3</f>
        <v>A80</v>
      </c>
      <c r="V18" s="52" t="str">
        <f t="shared" ref="V18:AK18" si="17">V$3</f>
        <v>BEX</v>
      </c>
      <c r="W18" s="52" t="str">
        <f t="shared" si="17"/>
        <v>FRONTR</v>
      </c>
      <c r="X18" s="52" t="str">
        <f t="shared" si="17"/>
        <v>BTNTRI</v>
      </c>
      <c r="Y18" s="52" t="str">
        <f t="shared" si="17"/>
        <v>CPA</v>
      </c>
      <c r="Z18" s="52" t="str">
        <f t="shared" si="17"/>
        <v>CROW</v>
      </c>
      <c r="AA18" s="52" t="str">
        <f t="shared" si="17"/>
        <v>EAST/BDY</v>
      </c>
      <c r="AB18" s="52" t="str">
        <f t="shared" si="17"/>
        <v>HAIL</v>
      </c>
      <c r="AC18" s="52" t="str">
        <f t="shared" si="17"/>
        <v>HR/HAC</v>
      </c>
      <c r="AD18" s="52" t="str">
        <f t="shared" si="17"/>
        <v>HTH/UCK</v>
      </c>
      <c r="AE18" s="52" t="str">
        <f t="shared" si="17"/>
        <v>HYR</v>
      </c>
      <c r="AF18" s="52" t="str">
        <f t="shared" si="17"/>
        <v>LEW</v>
      </c>
      <c r="AG18" s="52" t="str">
        <f t="shared" si="17"/>
        <v>MEAD</v>
      </c>
      <c r="AH18" s="52" t="str">
        <f t="shared" si="17"/>
        <v>PSST</v>
      </c>
      <c r="AI18" s="52" t="str">
        <f t="shared" si="17"/>
        <v>HEDGE</v>
      </c>
      <c r="AJ18" s="52" t="str">
        <f t="shared" si="17"/>
        <v>RUNW</v>
      </c>
      <c r="AK18" s="52" t="str">
        <f t="shared" si="17"/>
        <v>WAD</v>
      </c>
    </row>
    <row r="19" spans="1:37">
      <c r="A19" s="52" t="s">
        <v>22</v>
      </c>
      <c r="B19" s="34">
        <v>30</v>
      </c>
      <c r="C19" s="32">
        <v>216</v>
      </c>
      <c r="D19" s="32">
        <v>21</v>
      </c>
      <c r="E19" s="32">
        <v>216</v>
      </c>
      <c r="F19" s="32">
        <v>101</v>
      </c>
      <c r="G19" s="32">
        <v>19</v>
      </c>
      <c r="H19" s="32">
        <v>13</v>
      </c>
      <c r="I19" s="32">
        <v>16</v>
      </c>
      <c r="J19" s="32">
        <v>1</v>
      </c>
      <c r="K19" s="32">
        <v>2</v>
      </c>
      <c r="L19" s="32">
        <v>3</v>
      </c>
      <c r="M19" s="32">
        <v>138</v>
      </c>
      <c r="N19" s="32">
        <v>216</v>
      </c>
      <c r="O19" s="32">
        <v>14</v>
      </c>
      <c r="P19" s="32">
        <v>216</v>
      </c>
      <c r="Q19" s="32">
        <v>216</v>
      </c>
      <c r="R19" s="32">
        <v>216</v>
      </c>
      <c r="T19" s="52" t="s">
        <v>22</v>
      </c>
      <c r="U19" s="34">
        <f t="shared" ref="U19:AJ38" si="18">IF(U$4="N",0,B19)</f>
        <v>30</v>
      </c>
      <c r="V19" s="34">
        <f t="shared" si="18"/>
        <v>216</v>
      </c>
      <c r="W19" s="34">
        <f t="shared" si="18"/>
        <v>21</v>
      </c>
      <c r="X19" s="34">
        <f t="shared" si="18"/>
        <v>216</v>
      </c>
      <c r="Y19" s="34">
        <f t="shared" si="18"/>
        <v>0</v>
      </c>
      <c r="Z19" s="34">
        <f t="shared" si="18"/>
        <v>19</v>
      </c>
      <c r="AA19" s="34">
        <f t="shared" si="18"/>
        <v>13</v>
      </c>
      <c r="AB19" s="34">
        <f t="shared" si="18"/>
        <v>16</v>
      </c>
      <c r="AC19" s="34">
        <f t="shared" si="18"/>
        <v>1</v>
      </c>
      <c r="AD19" s="34">
        <f t="shared" si="18"/>
        <v>2</v>
      </c>
      <c r="AE19" s="34">
        <f t="shared" si="18"/>
        <v>3</v>
      </c>
      <c r="AF19" s="34">
        <f t="shared" si="18"/>
        <v>138</v>
      </c>
      <c r="AG19" s="34">
        <f t="shared" si="18"/>
        <v>216</v>
      </c>
      <c r="AH19" s="34">
        <f t="shared" si="18"/>
        <v>14</v>
      </c>
      <c r="AI19" s="34">
        <f t="shared" si="18"/>
        <v>216</v>
      </c>
      <c r="AJ19" s="34">
        <f t="shared" si="18"/>
        <v>216</v>
      </c>
      <c r="AK19" s="34">
        <f t="shared" ref="AK19:AK38" si="19">IF(AK$4="N",0,R19)</f>
        <v>216</v>
      </c>
    </row>
    <row r="20" spans="1:37">
      <c r="A20" s="52" t="s">
        <v>32</v>
      </c>
      <c r="B20" s="34">
        <v>216</v>
      </c>
      <c r="C20" s="32">
        <v>216</v>
      </c>
      <c r="D20" s="32">
        <v>60</v>
      </c>
      <c r="E20" s="32">
        <v>216</v>
      </c>
      <c r="F20" s="32">
        <v>216</v>
      </c>
      <c r="G20" s="32">
        <v>53</v>
      </c>
      <c r="H20" s="32">
        <v>157</v>
      </c>
      <c r="I20" s="32">
        <v>24</v>
      </c>
      <c r="J20" s="32">
        <v>4</v>
      </c>
      <c r="K20" s="32">
        <v>162</v>
      </c>
      <c r="L20" s="32">
        <v>5</v>
      </c>
      <c r="M20" s="32">
        <v>179</v>
      </c>
      <c r="N20" s="32">
        <v>216</v>
      </c>
      <c r="O20" s="32">
        <v>20</v>
      </c>
      <c r="P20" s="32">
        <v>216</v>
      </c>
      <c r="Q20" s="32">
        <v>216</v>
      </c>
      <c r="R20" s="32">
        <v>216</v>
      </c>
      <c r="T20" s="52" t="s">
        <v>32</v>
      </c>
      <c r="U20" s="34">
        <f t="shared" si="18"/>
        <v>216</v>
      </c>
      <c r="V20" s="34">
        <f t="shared" si="18"/>
        <v>216</v>
      </c>
      <c r="W20" s="34">
        <f t="shared" si="18"/>
        <v>60</v>
      </c>
      <c r="X20" s="34">
        <f t="shared" si="18"/>
        <v>216</v>
      </c>
      <c r="Y20" s="34">
        <f t="shared" si="18"/>
        <v>0</v>
      </c>
      <c r="Z20" s="34">
        <f t="shared" si="18"/>
        <v>53</v>
      </c>
      <c r="AA20" s="34">
        <f t="shared" si="18"/>
        <v>157</v>
      </c>
      <c r="AB20" s="34">
        <f t="shared" si="18"/>
        <v>24</v>
      </c>
      <c r="AC20" s="34">
        <f t="shared" si="18"/>
        <v>4</v>
      </c>
      <c r="AD20" s="34">
        <f t="shared" si="18"/>
        <v>162</v>
      </c>
      <c r="AE20" s="34">
        <f t="shared" si="18"/>
        <v>5</v>
      </c>
      <c r="AF20" s="34">
        <f t="shared" si="18"/>
        <v>179</v>
      </c>
      <c r="AG20" s="34">
        <f t="shared" si="18"/>
        <v>216</v>
      </c>
      <c r="AH20" s="34">
        <f t="shared" si="18"/>
        <v>20</v>
      </c>
      <c r="AI20" s="34">
        <f t="shared" si="18"/>
        <v>216</v>
      </c>
      <c r="AJ20" s="34">
        <f t="shared" si="18"/>
        <v>216</v>
      </c>
      <c r="AK20" s="34">
        <f t="shared" si="19"/>
        <v>216</v>
      </c>
    </row>
    <row r="21" spans="1:37">
      <c r="A21" s="52" t="s">
        <v>35</v>
      </c>
      <c r="B21" s="34">
        <v>216</v>
      </c>
      <c r="C21" s="32">
        <v>216</v>
      </c>
      <c r="D21" s="32">
        <v>62</v>
      </c>
      <c r="E21" s="32">
        <v>216</v>
      </c>
      <c r="F21" s="32">
        <v>216</v>
      </c>
      <c r="G21" s="32">
        <v>120</v>
      </c>
      <c r="H21" s="32">
        <v>216</v>
      </c>
      <c r="I21" s="32">
        <v>216</v>
      </c>
      <c r="J21" s="32">
        <v>6</v>
      </c>
      <c r="K21" s="32">
        <v>166</v>
      </c>
      <c r="L21" s="32">
        <v>8</v>
      </c>
      <c r="M21" s="32">
        <v>216</v>
      </c>
      <c r="N21" s="32">
        <v>216</v>
      </c>
      <c r="O21" s="32">
        <v>29</v>
      </c>
      <c r="P21" s="32">
        <v>216</v>
      </c>
      <c r="Q21" s="32">
        <v>216</v>
      </c>
      <c r="R21" s="32">
        <v>216</v>
      </c>
      <c r="T21" s="52" t="s">
        <v>35</v>
      </c>
      <c r="U21" s="34">
        <f t="shared" si="18"/>
        <v>216</v>
      </c>
      <c r="V21" s="34">
        <f t="shared" si="18"/>
        <v>216</v>
      </c>
      <c r="W21" s="34">
        <f t="shared" si="18"/>
        <v>62</v>
      </c>
      <c r="X21" s="34">
        <f t="shared" si="18"/>
        <v>216</v>
      </c>
      <c r="Y21" s="34">
        <f t="shared" si="18"/>
        <v>0</v>
      </c>
      <c r="Z21" s="34">
        <f t="shared" si="18"/>
        <v>120</v>
      </c>
      <c r="AA21" s="34">
        <f t="shared" si="18"/>
        <v>216</v>
      </c>
      <c r="AB21" s="34">
        <f t="shared" si="18"/>
        <v>216</v>
      </c>
      <c r="AC21" s="34">
        <f t="shared" si="18"/>
        <v>6</v>
      </c>
      <c r="AD21" s="34">
        <f t="shared" si="18"/>
        <v>166</v>
      </c>
      <c r="AE21" s="34">
        <f t="shared" si="18"/>
        <v>8</v>
      </c>
      <c r="AF21" s="34">
        <f t="shared" si="18"/>
        <v>216</v>
      </c>
      <c r="AG21" s="34">
        <f t="shared" si="18"/>
        <v>216</v>
      </c>
      <c r="AH21" s="34">
        <f t="shared" si="18"/>
        <v>29</v>
      </c>
      <c r="AI21" s="34">
        <f t="shared" si="18"/>
        <v>216</v>
      </c>
      <c r="AJ21" s="34">
        <f t="shared" si="18"/>
        <v>216</v>
      </c>
      <c r="AK21" s="34">
        <f t="shared" si="19"/>
        <v>216</v>
      </c>
    </row>
    <row r="22" spans="1:37">
      <c r="A22" s="52" t="s">
        <v>97</v>
      </c>
      <c r="B22" s="34">
        <v>216</v>
      </c>
      <c r="C22" s="32">
        <v>216</v>
      </c>
      <c r="D22" s="32">
        <v>67</v>
      </c>
      <c r="E22" s="32">
        <v>216</v>
      </c>
      <c r="F22" s="32">
        <v>216</v>
      </c>
      <c r="G22" s="32">
        <v>216</v>
      </c>
      <c r="H22" s="32">
        <v>216</v>
      </c>
      <c r="I22" s="32">
        <v>216</v>
      </c>
      <c r="J22" s="32">
        <v>31</v>
      </c>
      <c r="K22" s="32">
        <v>170</v>
      </c>
      <c r="L22" s="32">
        <v>61</v>
      </c>
      <c r="M22" s="32">
        <v>216</v>
      </c>
      <c r="N22" s="32">
        <v>216</v>
      </c>
      <c r="O22" s="32">
        <v>136</v>
      </c>
      <c r="P22" s="32">
        <v>216</v>
      </c>
      <c r="Q22" s="32">
        <v>216</v>
      </c>
      <c r="R22" s="32">
        <v>216</v>
      </c>
      <c r="T22" s="52" t="s">
        <v>97</v>
      </c>
      <c r="U22" s="34">
        <f t="shared" si="18"/>
        <v>216</v>
      </c>
      <c r="V22" s="34">
        <f t="shared" si="18"/>
        <v>216</v>
      </c>
      <c r="W22" s="34">
        <f t="shared" si="18"/>
        <v>67</v>
      </c>
      <c r="X22" s="34">
        <f t="shared" si="18"/>
        <v>216</v>
      </c>
      <c r="Y22" s="34">
        <f t="shared" si="18"/>
        <v>0</v>
      </c>
      <c r="Z22" s="34">
        <f t="shared" si="18"/>
        <v>216</v>
      </c>
      <c r="AA22" s="34">
        <f t="shared" si="18"/>
        <v>216</v>
      </c>
      <c r="AB22" s="34">
        <f t="shared" si="18"/>
        <v>216</v>
      </c>
      <c r="AC22" s="34">
        <f t="shared" si="18"/>
        <v>31</v>
      </c>
      <c r="AD22" s="34">
        <f t="shared" si="18"/>
        <v>170</v>
      </c>
      <c r="AE22" s="34">
        <f t="shared" si="18"/>
        <v>61</v>
      </c>
      <c r="AF22" s="34">
        <f t="shared" si="18"/>
        <v>216</v>
      </c>
      <c r="AG22" s="34">
        <f t="shared" si="18"/>
        <v>216</v>
      </c>
      <c r="AH22" s="34">
        <f t="shared" si="18"/>
        <v>136</v>
      </c>
      <c r="AI22" s="34">
        <f t="shared" si="18"/>
        <v>216</v>
      </c>
      <c r="AJ22" s="34">
        <f t="shared" si="18"/>
        <v>216</v>
      </c>
      <c r="AK22" s="34">
        <f t="shared" si="19"/>
        <v>216</v>
      </c>
    </row>
    <row r="23" spans="1:37">
      <c r="A23" s="52" t="s">
        <v>40</v>
      </c>
      <c r="B23" s="34">
        <v>12</v>
      </c>
      <c r="C23" s="32">
        <v>78</v>
      </c>
      <c r="D23" s="32">
        <v>22</v>
      </c>
      <c r="E23" s="32">
        <v>216</v>
      </c>
      <c r="F23" s="32">
        <v>196</v>
      </c>
      <c r="G23" s="32">
        <v>7</v>
      </c>
      <c r="H23" s="32">
        <v>135</v>
      </c>
      <c r="I23" s="32">
        <v>51</v>
      </c>
      <c r="J23" s="32">
        <v>55</v>
      </c>
      <c r="K23" s="32">
        <v>17</v>
      </c>
      <c r="L23" s="32">
        <v>15</v>
      </c>
      <c r="M23" s="32">
        <v>102</v>
      </c>
      <c r="N23" s="32">
        <v>216</v>
      </c>
      <c r="O23" s="32">
        <v>79</v>
      </c>
      <c r="P23" s="32">
        <v>216</v>
      </c>
      <c r="Q23" s="32">
        <v>110</v>
      </c>
      <c r="R23" s="32">
        <v>10</v>
      </c>
      <c r="T23" s="52" t="s">
        <v>40</v>
      </c>
      <c r="U23" s="34">
        <f t="shared" si="18"/>
        <v>12</v>
      </c>
      <c r="V23" s="34">
        <f t="shared" si="18"/>
        <v>78</v>
      </c>
      <c r="W23" s="34">
        <f t="shared" si="18"/>
        <v>22</v>
      </c>
      <c r="X23" s="34">
        <f t="shared" si="18"/>
        <v>216</v>
      </c>
      <c r="Y23" s="34">
        <f t="shared" si="18"/>
        <v>0</v>
      </c>
      <c r="Z23" s="34">
        <f t="shared" si="18"/>
        <v>7</v>
      </c>
      <c r="AA23" s="34">
        <f t="shared" si="18"/>
        <v>135</v>
      </c>
      <c r="AB23" s="34">
        <f t="shared" si="18"/>
        <v>51</v>
      </c>
      <c r="AC23" s="34">
        <f t="shared" si="18"/>
        <v>55</v>
      </c>
      <c r="AD23" s="34">
        <f t="shared" si="18"/>
        <v>17</v>
      </c>
      <c r="AE23" s="34">
        <f t="shared" si="18"/>
        <v>15</v>
      </c>
      <c r="AF23" s="34">
        <f t="shared" si="18"/>
        <v>102</v>
      </c>
      <c r="AG23" s="34">
        <f t="shared" si="18"/>
        <v>216</v>
      </c>
      <c r="AH23" s="34">
        <f t="shared" si="18"/>
        <v>79</v>
      </c>
      <c r="AI23" s="34">
        <f t="shared" si="18"/>
        <v>216</v>
      </c>
      <c r="AJ23" s="34">
        <f t="shared" si="18"/>
        <v>110</v>
      </c>
      <c r="AK23" s="34">
        <f t="shared" si="19"/>
        <v>10</v>
      </c>
    </row>
    <row r="24" spans="1:37">
      <c r="A24" s="52" t="s">
        <v>71</v>
      </c>
      <c r="B24" s="34">
        <v>18</v>
      </c>
      <c r="C24" s="32">
        <v>213</v>
      </c>
      <c r="D24" s="32">
        <v>80</v>
      </c>
      <c r="E24" s="32">
        <v>216</v>
      </c>
      <c r="F24" s="32">
        <v>201</v>
      </c>
      <c r="G24" s="32">
        <v>34</v>
      </c>
      <c r="H24" s="32">
        <v>216</v>
      </c>
      <c r="I24" s="32">
        <v>56</v>
      </c>
      <c r="J24" s="32">
        <v>65</v>
      </c>
      <c r="K24" s="32">
        <v>46</v>
      </c>
      <c r="L24" s="32">
        <v>73</v>
      </c>
      <c r="M24" s="32">
        <v>105</v>
      </c>
      <c r="N24" s="32">
        <v>216</v>
      </c>
      <c r="O24" s="32">
        <v>90</v>
      </c>
      <c r="P24" s="32">
        <v>216</v>
      </c>
      <c r="Q24" s="32">
        <v>129</v>
      </c>
      <c r="R24" s="32">
        <v>211</v>
      </c>
      <c r="T24" s="52" t="s">
        <v>71</v>
      </c>
      <c r="U24" s="34">
        <f t="shared" si="18"/>
        <v>18</v>
      </c>
      <c r="V24" s="34">
        <f t="shared" si="18"/>
        <v>213</v>
      </c>
      <c r="W24" s="34">
        <f t="shared" si="18"/>
        <v>80</v>
      </c>
      <c r="X24" s="34">
        <f t="shared" si="18"/>
        <v>216</v>
      </c>
      <c r="Y24" s="34">
        <f t="shared" si="18"/>
        <v>0</v>
      </c>
      <c r="Z24" s="34">
        <f t="shared" si="18"/>
        <v>34</v>
      </c>
      <c r="AA24" s="34">
        <f t="shared" si="18"/>
        <v>216</v>
      </c>
      <c r="AB24" s="34">
        <f t="shared" si="18"/>
        <v>56</v>
      </c>
      <c r="AC24" s="34">
        <f t="shared" si="18"/>
        <v>65</v>
      </c>
      <c r="AD24" s="34">
        <f t="shared" si="18"/>
        <v>46</v>
      </c>
      <c r="AE24" s="34">
        <f t="shared" si="18"/>
        <v>73</v>
      </c>
      <c r="AF24" s="34">
        <f t="shared" si="18"/>
        <v>105</v>
      </c>
      <c r="AG24" s="34">
        <f t="shared" si="18"/>
        <v>216</v>
      </c>
      <c r="AH24" s="34">
        <f t="shared" si="18"/>
        <v>90</v>
      </c>
      <c r="AI24" s="34">
        <f t="shared" si="18"/>
        <v>216</v>
      </c>
      <c r="AJ24" s="34">
        <f t="shared" si="18"/>
        <v>129</v>
      </c>
      <c r="AK24" s="34">
        <f t="shared" si="19"/>
        <v>211</v>
      </c>
    </row>
    <row r="25" spans="1:37">
      <c r="A25" s="52" t="s">
        <v>120</v>
      </c>
      <c r="B25" s="34">
        <v>216</v>
      </c>
      <c r="C25" s="32">
        <v>216</v>
      </c>
      <c r="D25" s="32">
        <v>216</v>
      </c>
      <c r="E25" s="32">
        <v>216</v>
      </c>
      <c r="F25" s="32">
        <v>216</v>
      </c>
      <c r="G25" s="32">
        <v>43</v>
      </c>
      <c r="H25" s="32">
        <v>216</v>
      </c>
      <c r="I25" s="32">
        <v>77</v>
      </c>
      <c r="J25" s="32">
        <v>69</v>
      </c>
      <c r="K25" s="32">
        <v>152</v>
      </c>
      <c r="L25" s="32">
        <v>216</v>
      </c>
      <c r="M25" s="32">
        <v>107</v>
      </c>
      <c r="N25" s="32">
        <v>216</v>
      </c>
      <c r="O25" s="32">
        <v>97</v>
      </c>
      <c r="P25" s="32">
        <v>216</v>
      </c>
      <c r="Q25" s="32">
        <v>133</v>
      </c>
      <c r="R25" s="32">
        <v>216</v>
      </c>
      <c r="T25" s="52" t="s">
        <v>120</v>
      </c>
      <c r="U25" s="34">
        <f t="shared" si="18"/>
        <v>216</v>
      </c>
      <c r="V25" s="34">
        <f t="shared" si="18"/>
        <v>216</v>
      </c>
      <c r="W25" s="34">
        <f t="shared" si="18"/>
        <v>216</v>
      </c>
      <c r="X25" s="34">
        <f t="shared" si="18"/>
        <v>216</v>
      </c>
      <c r="Y25" s="34">
        <f t="shared" si="18"/>
        <v>0</v>
      </c>
      <c r="Z25" s="34">
        <f t="shared" si="18"/>
        <v>43</v>
      </c>
      <c r="AA25" s="34">
        <f t="shared" si="18"/>
        <v>216</v>
      </c>
      <c r="AB25" s="34">
        <f t="shared" si="18"/>
        <v>77</v>
      </c>
      <c r="AC25" s="34">
        <f t="shared" si="18"/>
        <v>69</v>
      </c>
      <c r="AD25" s="34">
        <f t="shared" si="18"/>
        <v>152</v>
      </c>
      <c r="AE25" s="34">
        <f t="shared" si="18"/>
        <v>216</v>
      </c>
      <c r="AF25" s="34">
        <f t="shared" si="18"/>
        <v>107</v>
      </c>
      <c r="AG25" s="34">
        <f t="shared" si="18"/>
        <v>216</v>
      </c>
      <c r="AH25" s="34">
        <f t="shared" si="18"/>
        <v>97</v>
      </c>
      <c r="AI25" s="34">
        <f t="shared" si="18"/>
        <v>216</v>
      </c>
      <c r="AJ25" s="34">
        <f t="shared" si="18"/>
        <v>133</v>
      </c>
      <c r="AK25" s="34">
        <f t="shared" si="19"/>
        <v>216</v>
      </c>
    </row>
    <row r="26" spans="1:37">
      <c r="A26" s="52" t="s">
        <v>44</v>
      </c>
      <c r="B26" s="34">
        <v>32</v>
      </c>
      <c r="C26" s="32">
        <v>25</v>
      </c>
      <c r="D26" s="32">
        <v>204</v>
      </c>
      <c r="E26" s="32">
        <v>216</v>
      </c>
      <c r="F26" s="32">
        <v>113</v>
      </c>
      <c r="G26" s="32">
        <v>54</v>
      </c>
      <c r="H26" s="32">
        <v>37</v>
      </c>
      <c r="I26" s="32">
        <v>148</v>
      </c>
      <c r="J26" s="32">
        <v>9</v>
      </c>
      <c r="K26" s="32">
        <v>47</v>
      </c>
      <c r="L26" s="32">
        <v>216</v>
      </c>
      <c r="M26" s="32">
        <v>11</v>
      </c>
      <c r="N26" s="32">
        <v>71</v>
      </c>
      <c r="O26" s="32">
        <v>26</v>
      </c>
      <c r="P26" s="32">
        <v>28</v>
      </c>
      <c r="Q26" s="32">
        <v>42</v>
      </c>
      <c r="R26" s="32">
        <v>134</v>
      </c>
      <c r="T26" s="52" t="s">
        <v>44</v>
      </c>
      <c r="U26" s="34">
        <f t="shared" si="18"/>
        <v>32</v>
      </c>
      <c r="V26" s="34">
        <f t="shared" si="18"/>
        <v>25</v>
      </c>
      <c r="W26" s="34">
        <f t="shared" si="18"/>
        <v>204</v>
      </c>
      <c r="X26" s="34">
        <f t="shared" si="18"/>
        <v>216</v>
      </c>
      <c r="Y26" s="34">
        <f t="shared" si="18"/>
        <v>0</v>
      </c>
      <c r="Z26" s="34">
        <f t="shared" si="18"/>
        <v>54</v>
      </c>
      <c r="AA26" s="34">
        <f t="shared" si="18"/>
        <v>37</v>
      </c>
      <c r="AB26" s="34">
        <f t="shared" si="18"/>
        <v>148</v>
      </c>
      <c r="AC26" s="34">
        <f t="shared" si="18"/>
        <v>9</v>
      </c>
      <c r="AD26" s="34">
        <f t="shared" si="18"/>
        <v>47</v>
      </c>
      <c r="AE26" s="34">
        <f t="shared" si="18"/>
        <v>216</v>
      </c>
      <c r="AF26" s="34">
        <f t="shared" si="18"/>
        <v>11</v>
      </c>
      <c r="AG26" s="34">
        <f t="shared" si="18"/>
        <v>71</v>
      </c>
      <c r="AH26" s="34">
        <f t="shared" si="18"/>
        <v>26</v>
      </c>
      <c r="AI26" s="34">
        <f t="shared" si="18"/>
        <v>28</v>
      </c>
      <c r="AJ26" s="34">
        <f t="shared" si="18"/>
        <v>42</v>
      </c>
      <c r="AK26" s="34">
        <f t="shared" si="19"/>
        <v>134</v>
      </c>
    </row>
    <row r="27" spans="1:37">
      <c r="A27" s="52" t="s">
        <v>80</v>
      </c>
      <c r="B27" s="34">
        <v>186</v>
      </c>
      <c r="C27" s="32">
        <v>104</v>
      </c>
      <c r="D27" s="32">
        <v>216</v>
      </c>
      <c r="E27" s="32">
        <v>216</v>
      </c>
      <c r="F27" s="32">
        <v>182</v>
      </c>
      <c r="G27" s="32">
        <v>171</v>
      </c>
      <c r="H27" s="32">
        <v>216</v>
      </c>
      <c r="I27" s="32">
        <v>215</v>
      </c>
      <c r="J27" s="32">
        <v>33</v>
      </c>
      <c r="K27" s="32">
        <v>48</v>
      </c>
      <c r="L27" s="32">
        <v>216</v>
      </c>
      <c r="M27" s="32">
        <v>23</v>
      </c>
      <c r="N27" s="32">
        <v>216</v>
      </c>
      <c r="O27" s="32">
        <v>35</v>
      </c>
      <c r="P27" s="32">
        <v>112</v>
      </c>
      <c r="Q27" s="32">
        <v>44</v>
      </c>
      <c r="R27" s="32">
        <v>151</v>
      </c>
      <c r="T27" s="52" t="s">
        <v>80</v>
      </c>
      <c r="U27" s="34">
        <f t="shared" si="18"/>
        <v>186</v>
      </c>
      <c r="V27" s="34">
        <f t="shared" si="18"/>
        <v>104</v>
      </c>
      <c r="W27" s="34">
        <f t="shared" si="18"/>
        <v>216</v>
      </c>
      <c r="X27" s="34">
        <f t="shared" si="18"/>
        <v>216</v>
      </c>
      <c r="Y27" s="34">
        <f t="shared" si="18"/>
        <v>0</v>
      </c>
      <c r="Z27" s="34">
        <f t="shared" si="18"/>
        <v>171</v>
      </c>
      <c r="AA27" s="34">
        <f t="shared" si="18"/>
        <v>216</v>
      </c>
      <c r="AB27" s="34">
        <f t="shared" si="18"/>
        <v>215</v>
      </c>
      <c r="AC27" s="34">
        <f t="shared" si="18"/>
        <v>33</v>
      </c>
      <c r="AD27" s="34">
        <f t="shared" si="18"/>
        <v>48</v>
      </c>
      <c r="AE27" s="34">
        <f t="shared" si="18"/>
        <v>216</v>
      </c>
      <c r="AF27" s="34">
        <f t="shared" si="18"/>
        <v>23</v>
      </c>
      <c r="AG27" s="34">
        <f t="shared" si="18"/>
        <v>216</v>
      </c>
      <c r="AH27" s="34">
        <f t="shared" si="18"/>
        <v>35</v>
      </c>
      <c r="AI27" s="34">
        <f t="shared" si="18"/>
        <v>112</v>
      </c>
      <c r="AJ27" s="34">
        <f t="shared" si="18"/>
        <v>44</v>
      </c>
      <c r="AK27" s="34">
        <f t="shared" si="19"/>
        <v>151</v>
      </c>
    </row>
    <row r="28" spans="1:37">
      <c r="A28" s="52" t="s">
        <v>127</v>
      </c>
      <c r="B28" s="34">
        <v>216</v>
      </c>
      <c r="C28" s="32">
        <v>126</v>
      </c>
      <c r="D28" s="32">
        <v>216</v>
      </c>
      <c r="E28" s="32">
        <v>216</v>
      </c>
      <c r="F28" s="32">
        <v>195</v>
      </c>
      <c r="G28" s="32">
        <v>187</v>
      </c>
      <c r="H28" s="32">
        <v>216</v>
      </c>
      <c r="I28" s="32">
        <v>216</v>
      </c>
      <c r="J28" s="32">
        <v>49</v>
      </c>
      <c r="K28" s="32">
        <v>145</v>
      </c>
      <c r="L28" s="32">
        <v>216</v>
      </c>
      <c r="M28" s="32">
        <v>72</v>
      </c>
      <c r="N28" s="32">
        <v>216</v>
      </c>
      <c r="O28" s="32">
        <v>52</v>
      </c>
      <c r="P28" s="32">
        <v>216</v>
      </c>
      <c r="Q28" s="32">
        <v>99</v>
      </c>
      <c r="R28" s="32">
        <v>178</v>
      </c>
      <c r="T28" s="52" t="s">
        <v>127</v>
      </c>
      <c r="U28" s="34">
        <f t="shared" si="18"/>
        <v>216</v>
      </c>
      <c r="V28" s="34">
        <f t="shared" si="18"/>
        <v>126</v>
      </c>
      <c r="W28" s="34">
        <f t="shared" si="18"/>
        <v>216</v>
      </c>
      <c r="X28" s="34">
        <f t="shared" si="18"/>
        <v>216</v>
      </c>
      <c r="Y28" s="34">
        <f t="shared" si="18"/>
        <v>0</v>
      </c>
      <c r="Z28" s="34">
        <f t="shared" si="18"/>
        <v>187</v>
      </c>
      <c r="AA28" s="34">
        <f t="shared" si="18"/>
        <v>216</v>
      </c>
      <c r="AB28" s="34">
        <f t="shared" si="18"/>
        <v>216</v>
      </c>
      <c r="AC28" s="34">
        <f t="shared" si="18"/>
        <v>49</v>
      </c>
      <c r="AD28" s="34">
        <f t="shared" si="18"/>
        <v>145</v>
      </c>
      <c r="AE28" s="34">
        <f t="shared" si="18"/>
        <v>216</v>
      </c>
      <c r="AF28" s="34">
        <f t="shared" si="18"/>
        <v>72</v>
      </c>
      <c r="AG28" s="34">
        <f t="shared" si="18"/>
        <v>216</v>
      </c>
      <c r="AH28" s="34">
        <f t="shared" si="18"/>
        <v>52</v>
      </c>
      <c r="AI28" s="34">
        <f t="shared" si="18"/>
        <v>216</v>
      </c>
      <c r="AJ28" s="34">
        <f t="shared" si="18"/>
        <v>99</v>
      </c>
      <c r="AK28" s="34">
        <f t="shared" si="19"/>
        <v>178</v>
      </c>
    </row>
    <row r="29" spans="1:37">
      <c r="A29" s="52" t="s">
        <v>106</v>
      </c>
      <c r="B29" s="34">
        <v>86</v>
      </c>
      <c r="C29" s="32">
        <v>200</v>
      </c>
      <c r="D29" s="32">
        <v>131</v>
      </c>
      <c r="E29" s="32">
        <v>216</v>
      </c>
      <c r="F29" s="32">
        <v>161</v>
      </c>
      <c r="G29" s="32">
        <v>123</v>
      </c>
      <c r="H29" s="32">
        <v>115</v>
      </c>
      <c r="I29" s="32">
        <v>89</v>
      </c>
      <c r="J29" s="32">
        <v>36</v>
      </c>
      <c r="K29" s="32">
        <v>103</v>
      </c>
      <c r="L29" s="32">
        <v>216</v>
      </c>
      <c r="M29" s="32">
        <v>81</v>
      </c>
      <c r="N29" s="32">
        <v>216</v>
      </c>
      <c r="O29" s="32">
        <v>41</v>
      </c>
      <c r="P29" s="32">
        <v>76</v>
      </c>
      <c r="Q29" s="32">
        <v>85</v>
      </c>
      <c r="R29" s="32">
        <v>68</v>
      </c>
      <c r="T29" s="52" t="s">
        <v>106</v>
      </c>
      <c r="U29" s="34">
        <f t="shared" si="18"/>
        <v>86</v>
      </c>
      <c r="V29" s="34">
        <f t="shared" si="18"/>
        <v>200</v>
      </c>
      <c r="W29" s="34">
        <f t="shared" si="18"/>
        <v>131</v>
      </c>
      <c r="X29" s="34">
        <f t="shared" si="18"/>
        <v>216</v>
      </c>
      <c r="Y29" s="34">
        <f t="shared" si="18"/>
        <v>0</v>
      </c>
      <c r="Z29" s="34">
        <f t="shared" si="18"/>
        <v>123</v>
      </c>
      <c r="AA29" s="34">
        <f t="shared" si="18"/>
        <v>115</v>
      </c>
      <c r="AB29" s="34">
        <f t="shared" si="18"/>
        <v>89</v>
      </c>
      <c r="AC29" s="34">
        <f t="shared" si="18"/>
        <v>36</v>
      </c>
      <c r="AD29" s="34">
        <f t="shared" si="18"/>
        <v>103</v>
      </c>
      <c r="AE29" s="34">
        <f t="shared" si="18"/>
        <v>216</v>
      </c>
      <c r="AF29" s="34">
        <f t="shared" si="18"/>
        <v>81</v>
      </c>
      <c r="AG29" s="34">
        <f t="shared" si="18"/>
        <v>216</v>
      </c>
      <c r="AH29" s="34">
        <f t="shared" si="18"/>
        <v>41</v>
      </c>
      <c r="AI29" s="34">
        <f t="shared" si="18"/>
        <v>76</v>
      </c>
      <c r="AJ29" s="34">
        <f t="shared" si="18"/>
        <v>85</v>
      </c>
      <c r="AK29" s="34">
        <f t="shared" si="19"/>
        <v>68</v>
      </c>
    </row>
    <row r="30" spans="1:37">
      <c r="A30" s="52" t="s">
        <v>149</v>
      </c>
      <c r="B30" s="34">
        <v>116</v>
      </c>
      <c r="C30" s="32">
        <v>216</v>
      </c>
      <c r="D30" s="32">
        <v>216</v>
      </c>
      <c r="E30" s="32">
        <v>216</v>
      </c>
      <c r="F30" s="32">
        <v>174</v>
      </c>
      <c r="G30" s="32">
        <v>158</v>
      </c>
      <c r="H30" s="32">
        <v>168</v>
      </c>
      <c r="I30" s="32">
        <v>216</v>
      </c>
      <c r="J30" s="32">
        <v>63</v>
      </c>
      <c r="K30" s="32">
        <v>164</v>
      </c>
      <c r="L30" s="32">
        <v>216</v>
      </c>
      <c r="M30" s="32">
        <v>98</v>
      </c>
      <c r="N30" s="32">
        <v>216</v>
      </c>
      <c r="O30" s="32">
        <v>109</v>
      </c>
      <c r="P30" s="32">
        <v>95</v>
      </c>
      <c r="Q30" s="32">
        <v>165</v>
      </c>
      <c r="R30" s="32">
        <v>150</v>
      </c>
      <c r="T30" s="52" t="s">
        <v>149</v>
      </c>
      <c r="U30" s="34">
        <f t="shared" si="18"/>
        <v>116</v>
      </c>
      <c r="V30" s="34">
        <f t="shared" si="18"/>
        <v>216</v>
      </c>
      <c r="W30" s="34">
        <f t="shared" si="18"/>
        <v>216</v>
      </c>
      <c r="X30" s="34">
        <f t="shared" si="18"/>
        <v>216</v>
      </c>
      <c r="Y30" s="34">
        <f t="shared" si="18"/>
        <v>0</v>
      </c>
      <c r="Z30" s="34">
        <f t="shared" si="18"/>
        <v>158</v>
      </c>
      <c r="AA30" s="34">
        <f t="shared" si="18"/>
        <v>168</v>
      </c>
      <c r="AB30" s="34">
        <f t="shared" si="18"/>
        <v>216</v>
      </c>
      <c r="AC30" s="34">
        <f t="shared" si="18"/>
        <v>63</v>
      </c>
      <c r="AD30" s="34">
        <f t="shared" si="18"/>
        <v>164</v>
      </c>
      <c r="AE30" s="34">
        <f t="shared" si="18"/>
        <v>216</v>
      </c>
      <c r="AF30" s="34">
        <f t="shared" si="18"/>
        <v>98</v>
      </c>
      <c r="AG30" s="34">
        <f t="shared" si="18"/>
        <v>216</v>
      </c>
      <c r="AH30" s="34">
        <f t="shared" si="18"/>
        <v>109</v>
      </c>
      <c r="AI30" s="34">
        <f t="shared" si="18"/>
        <v>95</v>
      </c>
      <c r="AJ30" s="34">
        <f t="shared" si="18"/>
        <v>165</v>
      </c>
      <c r="AK30" s="34">
        <f t="shared" si="19"/>
        <v>150</v>
      </c>
    </row>
    <row r="31" spans="1:37">
      <c r="A31" s="52" t="s">
        <v>90</v>
      </c>
      <c r="B31" s="34">
        <v>216</v>
      </c>
      <c r="C31" s="32">
        <v>202</v>
      </c>
      <c r="D31" s="32">
        <v>82</v>
      </c>
      <c r="E31" s="32">
        <v>216</v>
      </c>
      <c r="F31" s="32">
        <v>216</v>
      </c>
      <c r="G31" s="32">
        <v>38</v>
      </c>
      <c r="H31" s="32">
        <v>40</v>
      </c>
      <c r="I31" s="32">
        <v>122</v>
      </c>
      <c r="J31" s="32">
        <v>27</v>
      </c>
      <c r="K31" s="32">
        <v>216</v>
      </c>
      <c r="L31" s="32">
        <v>169</v>
      </c>
      <c r="M31" s="32">
        <v>100</v>
      </c>
      <c r="N31" s="32">
        <v>216</v>
      </c>
      <c r="O31" s="32">
        <v>45</v>
      </c>
      <c r="P31" s="32">
        <v>216</v>
      </c>
      <c r="Q31" s="32">
        <v>130</v>
      </c>
      <c r="R31" s="32">
        <v>189</v>
      </c>
      <c r="T31" s="52" t="s">
        <v>90</v>
      </c>
      <c r="U31" s="34">
        <f t="shared" si="18"/>
        <v>216</v>
      </c>
      <c r="V31" s="34">
        <f t="shared" si="18"/>
        <v>202</v>
      </c>
      <c r="W31" s="34">
        <f t="shared" si="18"/>
        <v>82</v>
      </c>
      <c r="X31" s="34">
        <f t="shared" si="18"/>
        <v>216</v>
      </c>
      <c r="Y31" s="34">
        <f t="shared" si="18"/>
        <v>0</v>
      </c>
      <c r="Z31" s="34">
        <f t="shared" si="18"/>
        <v>38</v>
      </c>
      <c r="AA31" s="34">
        <f t="shared" si="18"/>
        <v>40</v>
      </c>
      <c r="AB31" s="34">
        <f t="shared" si="18"/>
        <v>122</v>
      </c>
      <c r="AC31" s="34">
        <f t="shared" si="18"/>
        <v>27</v>
      </c>
      <c r="AD31" s="34">
        <f t="shared" si="18"/>
        <v>216</v>
      </c>
      <c r="AE31" s="34">
        <f t="shared" si="18"/>
        <v>169</v>
      </c>
      <c r="AF31" s="34">
        <f t="shared" si="18"/>
        <v>100</v>
      </c>
      <c r="AG31" s="34">
        <f t="shared" si="18"/>
        <v>216</v>
      </c>
      <c r="AH31" s="34">
        <f t="shared" si="18"/>
        <v>45</v>
      </c>
      <c r="AI31" s="34">
        <f t="shared" si="18"/>
        <v>216</v>
      </c>
      <c r="AJ31" s="34">
        <f t="shared" si="18"/>
        <v>130</v>
      </c>
      <c r="AK31" s="34">
        <f t="shared" si="19"/>
        <v>189</v>
      </c>
    </row>
    <row r="32" spans="1:37">
      <c r="A32" s="52" t="s">
        <v>143</v>
      </c>
      <c r="B32" s="34">
        <v>216</v>
      </c>
      <c r="C32" s="32">
        <v>216</v>
      </c>
      <c r="D32" s="32">
        <v>216</v>
      </c>
      <c r="E32" s="32">
        <v>216</v>
      </c>
      <c r="F32" s="32">
        <v>216</v>
      </c>
      <c r="G32" s="32">
        <v>216</v>
      </c>
      <c r="H32" s="32">
        <v>83</v>
      </c>
      <c r="I32" s="32">
        <v>156</v>
      </c>
      <c r="J32" s="32">
        <v>58</v>
      </c>
      <c r="K32" s="32">
        <v>216</v>
      </c>
      <c r="L32" s="32">
        <v>216</v>
      </c>
      <c r="M32" s="32">
        <v>216</v>
      </c>
      <c r="N32" s="32">
        <v>216</v>
      </c>
      <c r="O32" s="32">
        <v>108</v>
      </c>
      <c r="P32" s="32">
        <v>216</v>
      </c>
      <c r="Q32" s="32">
        <v>143</v>
      </c>
      <c r="R32" s="32">
        <v>216</v>
      </c>
      <c r="T32" s="52" t="s">
        <v>143</v>
      </c>
      <c r="U32" s="34">
        <f t="shared" si="18"/>
        <v>216</v>
      </c>
      <c r="V32" s="34">
        <f t="shared" si="18"/>
        <v>216</v>
      </c>
      <c r="W32" s="34">
        <f t="shared" si="18"/>
        <v>216</v>
      </c>
      <c r="X32" s="34">
        <f t="shared" si="18"/>
        <v>216</v>
      </c>
      <c r="Y32" s="34">
        <f t="shared" si="18"/>
        <v>0</v>
      </c>
      <c r="Z32" s="34">
        <f t="shared" si="18"/>
        <v>216</v>
      </c>
      <c r="AA32" s="34">
        <f t="shared" si="18"/>
        <v>83</v>
      </c>
      <c r="AB32" s="34">
        <f t="shared" si="18"/>
        <v>156</v>
      </c>
      <c r="AC32" s="34">
        <f t="shared" si="18"/>
        <v>58</v>
      </c>
      <c r="AD32" s="34">
        <f t="shared" si="18"/>
        <v>216</v>
      </c>
      <c r="AE32" s="34">
        <f t="shared" si="18"/>
        <v>216</v>
      </c>
      <c r="AF32" s="34">
        <f t="shared" si="18"/>
        <v>216</v>
      </c>
      <c r="AG32" s="34">
        <f t="shared" si="18"/>
        <v>216</v>
      </c>
      <c r="AH32" s="34">
        <f t="shared" si="18"/>
        <v>108</v>
      </c>
      <c r="AI32" s="34">
        <f t="shared" si="18"/>
        <v>216</v>
      </c>
      <c r="AJ32" s="34">
        <f t="shared" si="18"/>
        <v>143</v>
      </c>
      <c r="AK32" s="34">
        <f t="shared" si="19"/>
        <v>216</v>
      </c>
    </row>
    <row r="33" spans="1:37">
      <c r="A33" s="52" t="s">
        <v>141</v>
      </c>
      <c r="B33" s="34">
        <v>216</v>
      </c>
      <c r="C33" s="32">
        <v>57</v>
      </c>
      <c r="D33" s="32">
        <v>216</v>
      </c>
      <c r="E33" s="32">
        <v>216</v>
      </c>
      <c r="F33" s="32">
        <v>216</v>
      </c>
      <c r="G33" s="32">
        <v>141</v>
      </c>
      <c r="H33" s="32">
        <v>64</v>
      </c>
      <c r="I33" s="32">
        <v>66</v>
      </c>
      <c r="J33" s="32">
        <v>118</v>
      </c>
      <c r="K33" s="32">
        <v>214</v>
      </c>
      <c r="L33" s="32">
        <v>216</v>
      </c>
      <c r="M33" s="32">
        <v>75</v>
      </c>
      <c r="N33" s="32">
        <v>216</v>
      </c>
      <c r="O33" s="32">
        <v>176</v>
      </c>
      <c r="P33" s="32">
        <v>216</v>
      </c>
      <c r="Q33" s="32">
        <v>59</v>
      </c>
      <c r="R33" s="32">
        <v>183</v>
      </c>
      <c r="T33" s="52" t="s">
        <v>141</v>
      </c>
      <c r="U33" s="34">
        <f t="shared" si="18"/>
        <v>216</v>
      </c>
      <c r="V33" s="34">
        <f t="shared" si="18"/>
        <v>57</v>
      </c>
      <c r="W33" s="34">
        <f t="shared" si="18"/>
        <v>216</v>
      </c>
      <c r="X33" s="34">
        <f t="shared" si="18"/>
        <v>216</v>
      </c>
      <c r="Y33" s="34">
        <f t="shared" si="18"/>
        <v>0</v>
      </c>
      <c r="Z33" s="34">
        <f t="shared" si="18"/>
        <v>141</v>
      </c>
      <c r="AA33" s="34">
        <f t="shared" si="18"/>
        <v>64</v>
      </c>
      <c r="AB33" s="34">
        <f t="shared" si="18"/>
        <v>66</v>
      </c>
      <c r="AC33" s="34">
        <f t="shared" si="18"/>
        <v>118</v>
      </c>
      <c r="AD33" s="34">
        <f t="shared" si="18"/>
        <v>214</v>
      </c>
      <c r="AE33" s="34">
        <f t="shared" si="18"/>
        <v>216</v>
      </c>
      <c r="AF33" s="34">
        <f t="shared" si="18"/>
        <v>75</v>
      </c>
      <c r="AG33" s="34">
        <f t="shared" si="18"/>
        <v>216</v>
      </c>
      <c r="AH33" s="34">
        <f t="shared" si="18"/>
        <v>176</v>
      </c>
      <c r="AI33" s="34">
        <f t="shared" si="18"/>
        <v>216</v>
      </c>
      <c r="AJ33" s="34">
        <f t="shared" si="18"/>
        <v>59</v>
      </c>
      <c r="AK33" s="34">
        <f t="shared" si="19"/>
        <v>183</v>
      </c>
    </row>
    <row r="34" spans="1:37">
      <c r="A34" s="52" t="s">
        <v>194</v>
      </c>
      <c r="B34" s="34">
        <v>216</v>
      </c>
      <c r="C34" s="32">
        <v>177</v>
      </c>
      <c r="D34" s="32">
        <v>216</v>
      </c>
      <c r="E34" s="32">
        <v>216</v>
      </c>
      <c r="F34" s="32">
        <v>216</v>
      </c>
      <c r="G34" s="32">
        <v>216</v>
      </c>
      <c r="H34" s="32">
        <v>216</v>
      </c>
      <c r="I34" s="32">
        <v>155</v>
      </c>
      <c r="J34" s="32">
        <v>121</v>
      </c>
      <c r="K34" s="32">
        <v>216</v>
      </c>
      <c r="L34" s="32">
        <v>216</v>
      </c>
      <c r="M34" s="32">
        <v>96</v>
      </c>
      <c r="N34" s="32">
        <v>216</v>
      </c>
      <c r="O34" s="32">
        <v>184</v>
      </c>
      <c r="P34" s="32">
        <v>216</v>
      </c>
      <c r="Q34" s="32">
        <v>119</v>
      </c>
      <c r="R34" s="32">
        <v>185</v>
      </c>
      <c r="T34" s="52" t="s">
        <v>194</v>
      </c>
      <c r="U34" s="34">
        <f t="shared" si="18"/>
        <v>216</v>
      </c>
      <c r="V34" s="34">
        <f t="shared" si="18"/>
        <v>177</v>
      </c>
      <c r="W34" s="34">
        <f t="shared" si="18"/>
        <v>216</v>
      </c>
      <c r="X34" s="34">
        <f t="shared" si="18"/>
        <v>216</v>
      </c>
      <c r="Y34" s="34">
        <f t="shared" si="18"/>
        <v>0</v>
      </c>
      <c r="Z34" s="34">
        <f t="shared" si="18"/>
        <v>216</v>
      </c>
      <c r="AA34" s="34">
        <f t="shared" si="18"/>
        <v>216</v>
      </c>
      <c r="AB34" s="34">
        <f t="shared" si="18"/>
        <v>155</v>
      </c>
      <c r="AC34" s="34">
        <f t="shared" si="18"/>
        <v>121</v>
      </c>
      <c r="AD34" s="34">
        <f t="shared" si="18"/>
        <v>216</v>
      </c>
      <c r="AE34" s="34">
        <f t="shared" si="18"/>
        <v>216</v>
      </c>
      <c r="AF34" s="34">
        <f t="shared" si="18"/>
        <v>96</v>
      </c>
      <c r="AG34" s="34">
        <f t="shared" si="18"/>
        <v>216</v>
      </c>
      <c r="AH34" s="34">
        <f t="shared" si="18"/>
        <v>184</v>
      </c>
      <c r="AI34" s="34">
        <f t="shared" si="18"/>
        <v>216</v>
      </c>
      <c r="AJ34" s="34">
        <f t="shared" ref="AJ34:AJ53" si="20">IF(AJ$4="N",0,Q34)</f>
        <v>119</v>
      </c>
      <c r="AK34" s="34">
        <f t="shared" si="19"/>
        <v>185</v>
      </c>
    </row>
    <row r="35" spans="1:37">
      <c r="A35" s="52" t="s">
        <v>130</v>
      </c>
      <c r="B35" s="34">
        <v>111</v>
      </c>
      <c r="C35" s="32">
        <v>216</v>
      </c>
      <c r="D35" s="32">
        <v>216</v>
      </c>
      <c r="E35" s="32">
        <v>216</v>
      </c>
      <c r="F35" s="32">
        <v>207</v>
      </c>
      <c r="G35" s="32">
        <v>216</v>
      </c>
      <c r="H35" s="32">
        <v>87</v>
      </c>
      <c r="I35" s="32">
        <v>117</v>
      </c>
      <c r="J35" s="32">
        <v>106</v>
      </c>
      <c r="K35" s="32">
        <v>190</v>
      </c>
      <c r="L35" s="32">
        <v>216</v>
      </c>
      <c r="M35" s="32">
        <v>159</v>
      </c>
      <c r="N35" s="32">
        <v>216</v>
      </c>
      <c r="O35" s="32">
        <v>192</v>
      </c>
      <c r="P35" s="32">
        <v>50</v>
      </c>
      <c r="Q35" s="32">
        <v>124</v>
      </c>
      <c r="R35" s="32">
        <v>92</v>
      </c>
      <c r="T35" s="52" t="s">
        <v>130</v>
      </c>
      <c r="U35" s="34">
        <f t="shared" ref="U35:AI54" si="21">IF(U$4="N",0,B35)</f>
        <v>111</v>
      </c>
      <c r="V35" s="34">
        <f t="shared" si="21"/>
        <v>216</v>
      </c>
      <c r="W35" s="34">
        <f t="shared" si="21"/>
        <v>216</v>
      </c>
      <c r="X35" s="34">
        <f t="shared" si="21"/>
        <v>216</v>
      </c>
      <c r="Y35" s="34">
        <f t="shared" si="21"/>
        <v>0</v>
      </c>
      <c r="Z35" s="34">
        <f t="shared" si="21"/>
        <v>216</v>
      </c>
      <c r="AA35" s="34">
        <f t="shared" si="21"/>
        <v>87</v>
      </c>
      <c r="AB35" s="34">
        <f t="shared" si="21"/>
        <v>117</v>
      </c>
      <c r="AC35" s="34">
        <f t="shared" si="21"/>
        <v>106</v>
      </c>
      <c r="AD35" s="34">
        <f t="shared" si="21"/>
        <v>190</v>
      </c>
      <c r="AE35" s="34">
        <f t="shared" si="21"/>
        <v>216</v>
      </c>
      <c r="AF35" s="34">
        <f t="shared" si="21"/>
        <v>159</v>
      </c>
      <c r="AG35" s="34">
        <f t="shared" si="21"/>
        <v>216</v>
      </c>
      <c r="AH35" s="34">
        <f t="shared" si="21"/>
        <v>192</v>
      </c>
      <c r="AI35" s="34">
        <f t="shared" si="21"/>
        <v>50</v>
      </c>
      <c r="AJ35" s="34">
        <f t="shared" si="20"/>
        <v>124</v>
      </c>
      <c r="AK35" s="34">
        <f t="shared" si="19"/>
        <v>92</v>
      </c>
    </row>
    <row r="36" spans="1:37">
      <c r="A36" s="52" t="s">
        <v>247</v>
      </c>
      <c r="B36" s="34">
        <v>216</v>
      </c>
      <c r="C36" s="32">
        <v>216</v>
      </c>
      <c r="D36" s="32">
        <v>216</v>
      </c>
      <c r="E36" s="32">
        <v>216</v>
      </c>
      <c r="F36" s="32">
        <v>216</v>
      </c>
      <c r="G36" s="32">
        <v>216</v>
      </c>
      <c r="H36" s="32">
        <v>216</v>
      </c>
      <c r="I36" s="32">
        <v>199</v>
      </c>
      <c r="J36" s="32">
        <v>167</v>
      </c>
      <c r="K36" s="32">
        <v>209</v>
      </c>
      <c r="L36" s="32">
        <v>216</v>
      </c>
      <c r="M36" s="32">
        <v>216</v>
      </c>
      <c r="N36" s="32">
        <v>216</v>
      </c>
      <c r="O36" s="32">
        <v>193</v>
      </c>
      <c r="P36" s="32">
        <v>197</v>
      </c>
      <c r="Q36" s="32">
        <v>139</v>
      </c>
      <c r="R36" s="32">
        <v>137</v>
      </c>
      <c r="T36" s="52" t="s">
        <v>247</v>
      </c>
      <c r="U36" s="34">
        <f t="shared" si="21"/>
        <v>216</v>
      </c>
      <c r="V36" s="34">
        <f t="shared" si="21"/>
        <v>216</v>
      </c>
      <c r="W36" s="34">
        <f t="shared" si="21"/>
        <v>216</v>
      </c>
      <c r="X36" s="34">
        <f t="shared" si="21"/>
        <v>216</v>
      </c>
      <c r="Y36" s="34">
        <f t="shared" si="21"/>
        <v>0</v>
      </c>
      <c r="Z36" s="34">
        <f t="shared" si="21"/>
        <v>216</v>
      </c>
      <c r="AA36" s="34">
        <f t="shared" si="21"/>
        <v>216</v>
      </c>
      <c r="AB36" s="34">
        <f t="shared" si="21"/>
        <v>199</v>
      </c>
      <c r="AC36" s="34">
        <f t="shared" si="21"/>
        <v>167</v>
      </c>
      <c r="AD36" s="34">
        <f t="shared" si="21"/>
        <v>209</v>
      </c>
      <c r="AE36" s="34">
        <f t="shared" si="21"/>
        <v>216</v>
      </c>
      <c r="AF36" s="34">
        <f t="shared" si="21"/>
        <v>216</v>
      </c>
      <c r="AG36" s="34">
        <f t="shared" si="21"/>
        <v>216</v>
      </c>
      <c r="AH36" s="34">
        <f t="shared" si="21"/>
        <v>193</v>
      </c>
      <c r="AI36" s="34">
        <f t="shared" si="21"/>
        <v>197</v>
      </c>
      <c r="AJ36" s="34">
        <f t="shared" si="20"/>
        <v>139</v>
      </c>
      <c r="AK36" s="34">
        <f t="shared" si="19"/>
        <v>137</v>
      </c>
    </row>
    <row r="37" spans="1:37">
      <c r="A37" s="52" t="s">
        <v>218</v>
      </c>
      <c r="B37" s="34">
        <v>114</v>
      </c>
      <c r="C37" s="32">
        <v>216</v>
      </c>
      <c r="D37" s="32">
        <v>216</v>
      </c>
      <c r="E37" s="32">
        <v>216</v>
      </c>
      <c r="F37" s="32">
        <v>194</v>
      </c>
      <c r="G37" s="32">
        <v>188</v>
      </c>
      <c r="H37" s="32">
        <v>216</v>
      </c>
      <c r="I37" s="32">
        <v>146</v>
      </c>
      <c r="J37" s="32">
        <v>163</v>
      </c>
      <c r="K37" s="32">
        <v>203</v>
      </c>
      <c r="L37" s="32">
        <v>216</v>
      </c>
      <c r="M37" s="32">
        <v>216</v>
      </c>
      <c r="N37" s="32">
        <v>216</v>
      </c>
      <c r="O37" s="32">
        <v>144</v>
      </c>
      <c r="P37" s="32">
        <v>175</v>
      </c>
      <c r="Q37" s="32">
        <v>160</v>
      </c>
      <c r="R37" s="32">
        <v>128</v>
      </c>
      <c r="T37" s="52" t="s">
        <v>218</v>
      </c>
      <c r="U37" s="34">
        <f t="shared" si="21"/>
        <v>114</v>
      </c>
      <c r="V37" s="34">
        <f t="shared" si="21"/>
        <v>216</v>
      </c>
      <c r="W37" s="34">
        <f t="shared" si="21"/>
        <v>216</v>
      </c>
      <c r="X37" s="34">
        <f t="shared" si="21"/>
        <v>216</v>
      </c>
      <c r="Y37" s="34">
        <f t="shared" si="21"/>
        <v>0</v>
      </c>
      <c r="Z37" s="34">
        <f t="shared" si="21"/>
        <v>188</v>
      </c>
      <c r="AA37" s="34">
        <f t="shared" si="21"/>
        <v>216</v>
      </c>
      <c r="AB37" s="34">
        <f t="shared" si="21"/>
        <v>146</v>
      </c>
      <c r="AC37" s="34">
        <f t="shared" si="21"/>
        <v>163</v>
      </c>
      <c r="AD37" s="34">
        <f t="shared" si="21"/>
        <v>203</v>
      </c>
      <c r="AE37" s="34">
        <f t="shared" si="21"/>
        <v>216</v>
      </c>
      <c r="AF37" s="34">
        <f t="shared" si="21"/>
        <v>216</v>
      </c>
      <c r="AG37" s="34">
        <f t="shared" si="21"/>
        <v>216</v>
      </c>
      <c r="AH37" s="34">
        <f t="shared" si="21"/>
        <v>144</v>
      </c>
      <c r="AI37" s="34">
        <f t="shared" si="21"/>
        <v>175</v>
      </c>
      <c r="AJ37" s="34">
        <f t="shared" si="20"/>
        <v>160</v>
      </c>
      <c r="AK37" s="34">
        <f t="shared" si="19"/>
        <v>128</v>
      </c>
    </row>
    <row r="38" spans="1:37">
      <c r="A38" s="52" t="s">
        <v>271</v>
      </c>
      <c r="B38" s="34">
        <v>216</v>
      </c>
      <c r="C38" s="32">
        <v>216</v>
      </c>
      <c r="D38" s="32">
        <v>216</v>
      </c>
      <c r="E38" s="32">
        <v>216</v>
      </c>
      <c r="F38" s="32">
        <v>206</v>
      </c>
      <c r="G38" s="32">
        <v>216</v>
      </c>
      <c r="H38" s="32">
        <v>216</v>
      </c>
      <c r="I38" s="32">
        <v>216</v>
      </c>
      <c r="J38" s="32">
        <v>208</v>
      </c>
      <c r="K38" s="32">
        <v>216</v>
      </c>
      <c r="L38" s="32">
        <v>216</v>
      </c>
      <c r="M38" s="32">
        <v>216</v>
      </c>
      <c r="N38" s="32">
        <v>216</v>
      </c>
      <c r="O38" s="32">
        <v>216</v>
      </c>
      <c r="P38" s="32">
        <v>216</v>
      </c>
      <c r="Q38" s="32">
        <v>216</v>
      </c>
      <c r="R38" s="32">
        <v>153</v>
      </c>
      <c r="T38" s="52" t="s">
        <v>271</v>
      </c>
      <c r="U38" s="34">
        <f t="shared" si="21"/>
        <v>216</v>
      </c>
      <c r="V38" s="34">
        <f t="shared" si="21"/>
        <v>216</v>
      </c>
      <c r="W38" s="34">
        <f t="shared" si="21"/>
        <v>216</v>
      </c>
      <c r="X38" s="34">
        <f t="shared" si="21"/>
        <v>216</v>
      </c>
      <c r="Y38" s="34">
        <f t="shared" si="21"/>
        <v>0</v>
      </c>
      <c r="Z38" s="34">
        <f t="shared" si="21"/>
        <v>216</v>
      </c>
      <c r="AA38" s="34">
        <f t="shared" si="21"/>
        <v>216</v>
      </c>
      <c r="AB38" s="34">
        <f t="shared" si="21"/>
        <v>216</v>
      </c>
      <c r="AC38" s="34">
        <f t="shared" si="21"/>
        <v>208</v>
      </c>
      <c r="AD38" s="34">
        <f t="shared" si="21"/>
        <v>216</v>
      </c>
      <c r="AE38" s="34">
        <f t="shared" si="21"/>
        <v>216</v>
      </c>
      <c r="AF38" s="34">
        <f t="shared" si="21"/>
        <v>216</v>
      </c>
      <c r="AG38" s="34">
        <f t="shared" si="21"/>
        <v>216</v>
      </c>
      <c r="AH38" s="34">
        <f t="shared" si="21"/>
        <v>216</v>
      </c>
      <c r="AI38" s="34">
        <f t="shared" si="21"/>
        <v>216</v>
      </c>
      <c r="AJ38" s="34">
        <f t="shared" si="20"/>
        <v>216</v>
      </c>
      <c r="AK38" s="34">
        <f t="shared" si="19"/>
        <v>153</v>
      </c>
    </row>
    <row r="39" spans="1:37">
      <c r="A39" s="52"/>
      <c r="B39" s="56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T39" s="52"/>
      <c r="U39" s="52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>
      <c r="A40" s="52" t="s">
        <v>385</v>
      </c>
      <c r="B40" s="32">
        <f t="shared" ref="B40:R40" si="22">SUM(B19:B39)</f>
        <v>3081</v>
      </c>
      <c r="C40" s="32">
        <f t="shared" si="22"/>
        <v>3558</v>
      </c>
      <c r="D40" s="32">
        <f>SUM(D19:D39)</f>
        <v>3105</v>
      </c>
      <c r="E40" s="32">
        <f t="shared" si="22"/>
        <v>4320</v>
      </c>
      <c r="F40" s="32">
        <f t="shared" si="22"/>
        <v>3874</v>
      </c>
      <c r="G40" s="32">
        <f t="shared" si="22"/>
        <v>2632</v>
      </c>
      <c r="H40" s="32">
        <f t="shared" si="22"/>
        <v>3059</v>
      </c>
      <c r="I40" s="32">
        <f t="shared" si="22"/>
        <v>2717</v>
      </c>
      <c r="J40" s="32">
        <f t="shared" si="22"/>
        <v>1389</v>
      </c>
      <c r="K40" s="32">
        <f t="shared" si="22"/>
        <v>2902</v>
      </c>
      <c r="L40" s="32">
        <f t="shared" si="22"/>
        <v>3142</v>
      </c>
      <c r="M40" s="32">
        <f>SUM(M19:M39)</f>
        <v>2642</v>
      </c>
      <c r="N40" s="32">
        <f t="shared" si="22"/>
        <v>4175</v>
      </c>
      <c r="O40" s="32">
        <f t="shared" si="22"/>
        <v>1986</v>
      </c>
      <c r="P40" s="32">
        <f t="shared" si="22"/>
        <v>3541</v>
      </c>
      <c r="Q40" s="32">
        <f t="shared" si="22"/>
        <v>2761</v>
      </c>
      <c r="R40" s="32">
        <f t="shared" si="22"/>
        <v>3265</v>
      </c>
      <c r="T40" s="52" t="s">
        <v>385</v>
      </c>
      <c r="U40" s="32">
        <f>IF(U$4="N","- ",SUM(U19:U39))</f>
        <v>3081</v>
      </c>
      <c r="V40" s="32">
        <f>IF(V$4="N","- ",SUM(V19:V39))</f>
        <v>3558</v>
      </c>
      <c r="W40" s="32">
        <f>IF(W$4="N","- ",SUM(W19:W39))</f>
        <v>3105</v>
      </c>
      <c r="X40" s="32">
        <f>IF(X$4="N","- ",SUM(X19:X39))</f>
        <v>4320</v>
      </c>
      <c r="Y40" s="32" t="str">
        <f>IF(Y$4="N","- ",SUM(Y19:Y39))</f>
        <v xml:space="preserve">- </v>
      </c>
      <c r="Z40" s="32">
        <f t="shared" ref="Z40:AK40" si="23">IF(Z$4="N","- ",SUM(Z19:Z39))</f>
        <v>2632</v>
      </c>
      <c r="AA40" s="32">
        <f t="shared" si="23"/>
        <v>3059</v>
      </c>
      <c r="AB40" s="32">
        <f t="shared" si="23"/>
        <v>2717</v>
      </c>
      <c r="AC40" s="32">
        <f t="shared" si="23"/>
        <v>1389</v>
      </c>
      <c r="AD40" s="32">
        <f t="shared" si="23"/>
        <v>2902</v>
      </c>
      <c r="AE40" s="32">
        <f t="shared" si="23"/>
        <v>3142</v>
      </c>
      <c r="AF40" s="32">
        <f t="shared" si="23"/>
        <v>2642</v>
      </c>
      <c r="AG40" s="32">
        <f t="shared" si="23"/>
        <v>4175</v>
      </c>
      <c r="AH40" s="32">
        <f t="shared" si="23"/>
        <v>1986</v>
      </c>
      <c r="AI40" s="32">
        <f t="shared" si="23"/>
        <v>3541</v>
      </c>
      <c r="AJ40" s="32">
        <f t="shared" si="23"/>
        <v>2761</v>
      </c>
      <c r="AK40" s="32">
        <f t="shared" si="23"/>
        <v>3265</v>
      </c>
    </row>
    <row r="41" spans="1:37">
      <c r="A41" s="52"/>
      <c r="B41" s="56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T41" s="52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</row>
    <row r="42" spans="1:37">
      <c r="A42" s="52" t="s">
        <v>375</v>
      </c>
      <c r="B42" s="75">
        <f t="shared" ref="B42:R42" si="24">IF(SUM($A40:$S40)=0,0,COUNTIF($A40:$S40,"&lt;"&amp;B40)+1)</f>
        <v>9</v>
      </c>
      <c r="C42" s="75">
        <f t="shared" si="24"/>
        <v>14</v>
      </c>
      <c r="D42" s="75">
        <f t="shared" si="24"/>
        <v>10</v>
      </c>
      <c r="E42" s="75">
        <f t="shared" si="24"/>
        <v>17</v>
      </c>
      <c r="F42" s="75">
        <f t="shared" si="24"/>
        <v>15</v>
      </c>
      <c r="G42" s="75">
        <f t="shared" si="24"/>
        <v>3</v>
      </c>
      <c r="H42" s="75">
        <f t="shared" si="24"/>
        <v>8</v>
      </c>
      <c r="I42" s="75">
        <f t="shared" si="24"/>
        <v>5</v>
      </c>
      <c r="J42" s="75">
        <f t="shared" si="24"/>
        <v>1</v>
      </c>
      <c r="K42" s="75">
        <f t="shared" si="24"/>
        <v>7</v>
      </c>
      <c r="L42" s="75">
        <f t="shared" si="24"/>
        <v>11</v>
      </c>
      <c r="M42" s="75">
        <f t="shared" si="24"/>
        <v>4</v>
      </c>
      <c r="N42" s="75">
        <f t="shared" si="24"/>
        <v>16</v>
      </c>
      <c r="O42" s="75">
        <f t="shared" si="24"/>
        <v>2</v>
      </c>
      <c r="P42" s="75">
        <f t="shared" si="24"/>
        <v>13</v>
      </c>
      <c r="Q42" s="75">
        <f t="shared" si="24"/>
        <v>6</v>
      </c>
      <c r="R42" s="75">
        <f t="shared" si="24"/>
        <v>12</v>
      </c>
      <c r="T42" s="52" t="s">
        <v>375</v>
      </c>
      <c r="U42" s="75">
        <f t="shared" ref="U42:AK42" si="25">IF(SUM($T40:$AL40)=0,0,IF(U$4="N","- ",COUNTIF($T40:$AL40,"&lt;"&amp;U40)+1))</f>
        <v>9</v>
      </c>
      <c r="V42" s="75">
        <f t="shared" si="25"/>
        <v>14</v>
      </c>
      <c r="W42" s="75">
        <f t="shared" si="25"/>
        <v>10</v>
      </c>
      <c r="X42" s="75">
        <f t="shared" si="25"/>
        <v>16</v>
      </c>
      <c r="Y42" s="75" t="str">
        <f t="shared" si="25"/>
        <v xml:space="preserve">- </v>
      </c>
      <c r="Z42" s="75">
        <f t="shared" si="25"/>
        <v>3</v>
      </c>
      <c r="AA42" s="75">
        <f t="shared" si="25"/>
        <v>8</v>
      </c>
      <c r="AB42" s="75">
        <f t="shared" si="25"/>
        <v>5</v>
      </c>
      <c r="AC42" s="75">
        <f t="shared" si="25"/>
        <v>1</v>
      </c>
      <c r="AD42" s="75">
        <f t="shared" si="25"/>
        <v>7</v>
      </c>
      <c r="AE42" s="75">
        <f t="shared" si="25"/>
        <v>11</v>
      </c>
      <c r="AF42" s="75">
        <f t="shared" si="25"/>
        <v>4</v>
      </c>
      <c r="AG42" s="75">
        <f t="shared" si="25"/>
        <v>15</v>
      </c>
      <c r="AH42" s="75">
        <f t="shared" si="25"/>
        <v>2</v>
      </c>
      <c r="AI42" s="75">
        <f t="shared" si="25"/>
        <v>13</v>
      </c>
      <c r="AJ42" s="75">
        <f t="shared" si="25"/>
        <v>6</v>
      </c>
      <c r="AK42" s="75">
        <f t="shared" si="25"/>
        <v>12</v>
      </c>
    </row>
    <row r="43" spans="1:37">
      <c r="A43" s="52"/>
      <c r="B43" s="56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T43" s="52"/>
      <c r="U43" s="56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>
      <c r="A44" s="52" t="s">
        <v>113</v>
      </c>
      <c r="B44" s="56"/>
      <c r="C44" s="32"/>
      <c r="D44" s="32">
        <v>74</v>
      </c>
      <c r="E44" s="32"/>
      <c r="F44" s="32"/>
      <c r="G44" s="32"/>
      <c r="H44" s="32"/>
      <c r="I44" s="32"/>
      <c r="J44" s="32">
        <v>39</v>
      </c>
      <c r="K44" s="32">
        <v>180</v>
      </c>
      <c r="L44" s="32"/>
      <c r="M44" s="32"/>
      <c r="N44" s="32"/>
      <c r="O44" s="32">
        <v>140</v>
      </c>
      <c r="P44" s="32"/>
      <c r="Q44" s="32"/>
      <c r="R44" s="32"/>
      <c r="T44" s="52" t="s">
        <v>113</v>
      </c>
      <c r="U44" s="34">
        <f t="shared" ref="U44:AJ53" si="26">IF(U$4="N",0,B44)</f>
        <v>0</v>
      </c>
      <c r="V44" s="34">
        <f t="shared" si="26"/>
        <v>0</v>
      </c>
      <c r="W44" s="34">
        <f t="shared" si="26"/>
        <v>74</v>
      </c>
      <c r="X44" s="34">
        <f t="shared" si="26"/>
        <v>0</v>
      </c>
      <c r="Y44" s="34">
        <f t="shared" si="26"/>
        <v>0</v>
      </c>
      <c r="Z44" s="34">
        <f t="shared" si="26"/>
        <v>0</v>
      </c>
      <c r="AA44" s="34">
        <f t="shared" si="26"/>
        <v>0</v>
      </c>
      <c r="AB44" s="34">
        <f t="shared" si="26"/>
        <v>0</v>
      </c>
      <c r="AC44" s="34">
        <f t="shared" si="26"/>
        <v>39</v>
      </c>
      <c r="AD44" s="34">
        <f t="shared" si="26"/>
        <v>180</v>
      </c>
      <c r="AE44" s="34">
        <f t="shared" si="26"/>
        <v>0</v>
      </c>
      <c r="AF44" s="34">
        <f t="shared" si="26"/>
        <v>0</v>
      </c>
      <c r="AG44" s="34">
        <f t="shared" si="26"/>
        <v>0</v>
      </c>
      <c r="AH44" s="34">
        <f t="shared" si="26"/>
        <v>140</v>
      </c>
      <c r="AI44" s="34">
        <f t="shared" si="26"/>
        <v>0</v>
      </c>
      <c r="AJ44" s="34">
        <f t="shared" si="26"/>
        <v>0</v>
      </c>
      <c r="AK44" s="34">
        <f t="shared" ref="AK44:AK53" si="27">IF(AK$4="N",0,R44)</f>
        <v>0</v>
      </c>
    </row>
    <row r="45" spans="1:37">
      <c r="A45" s="52" t="s">
        <v>159</v>
      </c>
      <c r="B45" s="56"/>
      <c r="C45" s="32"/>
      <c r="D45" s="32"/>
      <c r="E45" s="32"/>
      <c r="F45" s="32"/>
      <c r="G45" s="32"/>
      <c r="H45" s="32"/>
      <c r="I45" s="32"/>
      <c r="J45" s="32">
        <v>70</v>
      </c>
      <c r="K45" s="32">
        <v>181</v>
      </c>
      <c r="L45" s="32"/>
      <c r="M45" s="32"/>
      <c r="N45" s="32"/>
      <c r="O45" s="32">
        <v>147</v>
      </c>
      <c r="P45" s="32"/>
      <c r="Q45" s="32"/>
      <c r="R45" s="32"/>
      <c r="T45" s="52" t="s">
        <v>159</v>
      </c>
      <c r="U45" s="34">
        <f t="shared" si="26"/>
        <v>0</v>
      </c>
      <c r="V45" s="34">
        <f t="shared" si="26"/>
        <v>0</v>
      </c>
      <c r="W45" s="34">
        <f t="shared" si="26"/>
        <v>0</v>
      </c>
      <c r="X45" s="34">
        <f t="shared" si="26"/>
        <v>0</v>
      </c>
      <c r="Y45" s="34">
        <f t="shared" si="26"/>
        <v>0</v>
      </c>
      <c r="Z45" s="34">
        <f t="shared" si="26"/>
        <v>0</v>
      </c>
      <c r="AA45" s="34">
        <f t="shared" si="26"/>
        <v>0</v>
      </c>
      <c r="AB45" s="34">
        <f t="shared" si="26"/>
        <v>0</v>
      </c>
      <c r="AC45" s="34">
        <f t="shared" si="26"/>
        <v>70</v>
      </c>
      <c r="AD45" s="34">
        <f t="shared" si="26"/>
        <v>181</v>
      </c>
      <c r="AE45" s="34">
        <f t="shared" si="26"/>
        <v>0</v>
      </c>
      <c r="AF45" s="34">
        <f t="shared" si="26"/>
        <v>0</v>
      </c>
      <c r="AG45" s="34">
        <f t="shared" si="26"/>
        <v>0</v>
      </c>
      <c r="AH45" s="34">
        <f t="shared" si="26"/>
        <v>147</v>
      </c>
      <c r="AI45" s="34">
        <f t="shared" si="26"/>
        <v>0</v>
      </c>
      <c r="AJ45" s="34">
        <f t="shared" si="26"/>
        <v>0</v>
      </c>
      <c r="AK45" s="34">
        <f t="shared" si="27"/>
        <v>0</v>
      </c>
    </row>
    <row r="46" spans="1:37">
      <c r="A46" s="52" t="s">
        <v>176</v>
      </c>
      <c r="B46" s="56"/>
      <c r="C46" s="32"/>
      <c r="D46" s="32"/>
      <c r="E46" s="32"/>
      <c r="F46" s="32"/>
      <c r="G46" s="32"/>
      <c r="H46" s="32"/>
      <c r="I46" s="32"/>
      <c r="J46" s="32">
        <v>84</v>
      </c>
      <c r="K46" s="32"/>
      <c r="L46" s="32"/>
      <c r="M46" s="32"/>
      <c r="N46" s="32"/>
      <c r="O46" s="32">
        <v>149</v>
      </c>
      <c r="P46" s="32"/>
      <c r="Q46" s="32"/>
      <c r="R46" s="32"/>
      <c r="T46" s="52" t="s">
        <v>176</v>
      </c>
      <c r="U46" s="34">
        <f t="shared" si="26"/>
        <v>0</v>
      </c>
      <c r="V46" s="34">
        <f t="shared" si="26"/>
        <v>0</v>
      </c>
      <c r="W46" s="34">
        <f t="shared" si="26"/>
        <v>0</v>
      </c>
      <c r="X46" s="34">
        <f t="shared" si="26"/>
        <v>0</v>
      </c>
      <c r="Y46" s="34">
        <f t="shared" si="26"/>
        <v>0</v>
      </c>
      <c r="Z46" s="34">
        <f t="shared" si="26"/>
        <v>0</v>
      </c>
      <c r="AA46" s="34">
        <f t="shared" si="26"/>
        <v>0</v>
      </c>
      <c r="AB46" s="34">
        <f t="shared" si="26"/>
        <v>0</v>
      </c>
      <c r="AC46" s="34">
        <f t="shared" si="26"/>
        <v>84</v>
      </c>
      <c r="AD46" s="34">
        <f t="shared" si="26"/>
        <v>0</v>
      </c>
      <c r="AE46" s="34">
        <f t="shared" si="26"/>
        <v>0</v>
      </c>
      <c r="AF46" s="34">
        <f t="shared" si="26"/>
        <v>0</v>
      </c>
      <c r="AG46" s="34">
        <f t="shared" si="26"/>
        <v>0</v>
      </c>
      <c r="AH46" s="34">
        <f t="shared" si="26"/>
        <v>149</v>
      </c>
      <c r="AI46" s="34">
        <f t="shared" si="26"/>
        <v>0</v>
      </c>
      <c r="AJ46" s="34">
        <f t="shared" si="26"/>
        <v>0</v>
      </c>
      <c r="AK46" s="34">
        <f t="shared" si="27"/>
        <v>0</v>
      </c>
    </row>
    <row r="47" spans="1:37">
      <c r="A47" s="52" t="s">
        <v>182</v>
      </c>
      <c r="B47" s="56"/>
      <c r="C47" s="32"/>
      <c r="D47" s="32"/>
      <c r="E47" s="32"/>
      <c r="F47" s="32"/>
      <c r="G47" s="32"/>
      <c r="H47" s="32"/>
      <c r="I47" s="32"/>
      <c r="J47" s="32">
        <v>88</v>
      </c>
      <c r="K47" s="32"/>
      <c r="L47" s="32"/>
      <c r="M47" s="32"/>
      <c r="N47" s="32"/>
      <c r="O47" s="32">
        <v>172</v>
      </c>
      <c r="P47" s="32"/>
      <c r="Q47" s="32"/>
      <c r="R47" s="32"/>
      <c r="T47" s="52" t="s">
        <v>182</v>
      </c>
      <c r="U47" s="34">
        <f t="shared" si="26"/>
        <v>0</v>
      </c>
      <c r="V47" s="34">
        <f t="shared" si="26"/>
        <v>0</v>
      </c>
      <c r="W47" s="34">
        <f t="shared" si="26"/>
        <v>0</v>
      </c>
      <c r="X47" s="34">
        <f t="shared" si="26"/>
        <v>0</v>
      </c>
      <c r="Y47" s="34">
        <f t="shared" si="26"/>
        <v>0</v>
      </c>
      <c r="Z47" s="34">
        <f t="shared" si="26"/>
        <v>0</v>
      </c>
      <c r="AA47" s="34">
        <f t="shared" si="26"/>
        <v>0</v>
      </c>
      <c r="AB47" s="34">
        <f t="shared" si="26"/>
        <v>0</v>
      </c>
      <c r="AC47" s="34">
        <f t="shared" si="26"/>
        <v>88</v>
      </c>
      <c r="AD47" s="34">
        <f t="shared" si="26"/>
        <v>0</v>
      </c>
      <c r="AE47" s="34">
        <f t="shared" si="26"/>
        <v>0</v>
      </c>
      <c r="AF47" s="34">
        <f t="shared" si="26"/>
        <v>0</v>
      </c>
      <c r="AG47" s="34">
        <f t="shared" si="26"/>
        <v>0</v>
      </c>
      <c r="AH47" s="34">
        <f t="shared" si="26"/>
        <v>172</v>
      </c>
      <c r="AI47" s="34">
        <f t="shared" si="26"/>
        <v>0</v>
      </c>
      <c r="AJ47" s="34">
        <f t="shared" si="26"/>
        <v>0</v>
      </c>
      <c r="AK47" s="34">
        <f t="shared" si="27"/>
        <v>0</v>
      </c>
    </row>
    <row r="48" spans="1:37">
      <c r="A48" s="52" t="s">
        <v>186</v>
      </c>
      <c r="B48" s="56"/>
      <c r="C48" s="32"/>
      <c r="D48" s="32"/>
      <c r="E48" s="32"/>
      <c r="F48" s="32"/>
      <c r="G48" s="32"/>
      <c r="H48" s="32"/>
      <c r="I48" s="32"/>
      <c r="J48" s="32">
        <v>91</v>
      </c>
      <c r="K48" s="32"/>
      <c r="L48" s="32"/>
      <c r="M48" s="32"/>
      <c r="N48" s="32"/>
      <c r="O48" s="32">
        <v>191</v>
      </c>
      <c r="P48" s="32"/>
      <c r="Q48" s="32"/>
      <c r="R48" s="32"/>
      <c r="T48" s="52" t="s">
        <v>186</v>
      </c>
      <c r="U48" s="34">
        <f t="shared" si="26"/>
        <v>0</v>
      </c>
      <c r="V48" s="34">
        <f t="shared" si="26"/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0</v>
      </c>
      <c r="AA48" s="34">
        <f t="shared" si="26"/>
        <v>0</v>
      </c>
      <c r="AB48" s="34">
        <f t="shared" si="26"/>
        <v>0</v>
      </c>
      <c r="AC48" s="34">
        <f t="shared" si="26"/>
        <v>91</v>
      </c>
      <c r="AD48" s="34">
        <f t="shared" si="26"/>
        <v>0</v>
      </c>
      <c r="AE48" s="34">
        <f t="shared" si="26"/>
        <v>0</v>
      </c>
      <c r="AF48" s="34">
        <f t="shared" si="26"/>
        <v>0</v>
      </c>
      <c r="AG48" s="34">
        <f t="shared" si="26"/>
        <v>0</v>
      </c>
      <c r="AH48" s="34">
        <f t="shared" si="26"/>
        <v>191</v>
      </c>
      <c r="AI48" s="34">
        <f t="shared" si="26"/>
        <v>0</v>
      </c>
      <c r="AJ48" s="34">
        <f t="shared" si="26"/>
        <v>0</v>
      </c>
      <c r="AK48" s="34">
        <f t="shared" si="27"/>
        <v>0</v>
      </c>
    </row>
    <row r="49" spans="1:39">
      <c r="A49" s="52" t="s">
        <v>191</v>
      </c>
      <c r="B49" s="56"/>
      <c r="C49" s="32"/>
      <c r="D49" s="32"/>
      <c r="E49" s="32"/>
      <c r="F49" s="32"/>
      <c r="G49" s="32"/>
      <c r="H49" s="32"/>
      <c r="I49" s="32"/>
      <c r="J49" s="32">
        <v>94</v>
      </c>
      <c r="K49" s="32"/>
      <c r="L49" s="32"/>
      <c r="M49" s="32"/>
      <c r="N49" s="32"/>
      <c r="O49" s="32"/>
      <c r="P49" s="32"/>
      <c r="Q49" s="32"/>
      <c r="R49" s="32"/>
      <c r="T49" s="52" t="s">
        <v>191</v>
      </c>
      <c r="U49" s="34">
        <f t="shared" si="26"/>
        <v>0</v>
      </c>
      <c r="V49" s="34">
        <f t="shared" si="26"/>
        <v>0</v>
      </c>
      <c r="W49" s="34">
        <f t="shared" si="26"/>
        <v>0</v>
      </c>
      <c r="X49" s="34">
        <f t="shared" si="26"/>
        <v>0</v>
      </c>
      <c r="Y49" s="34">
        <f t="shared" si="26"/>
        <v>0</v>
      </c>
      <c r="Z49" s="34">
        <f t="shared" si="26"/>
        <v>0</v>
      </c>
      <c r="AA49" s="34">
        <f t="shared" si="26"/>
        <v>0</v>
      </c>
      <c r="AB49" s="34">
        <f t="shared" si="26"/>
        <v>0</v>
      </c>
      <c r="AC49" s="34">
        <f t="shared" si="26"/>
        <v>94</v>
      </c>
      <c r="AD49" s="34">
        <f t="shared" si="26"/>
        <v>0</v>
      </c>
      <c r="AE49" s="34">
        <f t="shared" si="26"/>
        <v>0</v>
      </c>
      <c r="AF49" s="34">
        <f t="shared" si="26"/>
        <v>0</v>
      </c>
      <c r="AG49" s="34">
        <f t="shared" si="26"/>
        <v>0</v>
      </c>
      <c r="AH49" s="34">
        <f t="shared" si="26"/>
        <v>0</v>
      </c>
      <c r="AI49" s="34">
        <f t="shared" si="26"/>
        <v>0</v>
      </c>
      <c r="AJ49" s="34">
        <f t="shared" si="26"/>
        <v>0</v>
      </c>
      <c r="AK49" s="34">
        <f t="shared" si="27"/>
        <v>0</v>
      </c>
    </row>
    <row r="50" spans="1:39">
      <c r="A50" s="52" t="s">
        <v>189</v>
      </c>
      <c r="B50" s="56"/>
      <c r="C50" s="32"/>
      <c r="D50" s="32"/>
      <c r="E50" s="32"/>
      <c r="F50" s="32"/>
      <c r="G50" s="32"/>
      <c r="H50" s="32">
        <v>173</v>
      </c>
      <c r="I50" s="32">
        <v>198</v>
      </c>
      <c r="J50" s="32">
        <v>93</v>
      </c>
      <c r="K50" s="32"/>
      <c r="L50" s="32"/>
      <c r="M50" s="32"/>
      <c r="N50" s="32"/>
      <c r="O50" s="32">
        <v>142</v>
      </c>
      <c r="P50" s="32"/>
      <c r="Q50" s="32">
        <v>154</v>
      </c>
      <c r="R50" s="32"/>
      <c r="T50" s="52" t="s">
        <v>189</v>
      </c>
      <c r="U50" s="34">
        <f t="shared" si="26"/>
        <v>0</v>
      </c>
      <c r="V50" s="34">
        <f t="shared" si="26"/>
        <v>0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0</v>
      </c>
      <c r="AA50" s="34">
        <f t="shared" si="26"/>
        <v>173</v>
      </c>
      <c r="AB50" s="34">
        <f t="shared" si="26"/>
        <v>198</v>
      </c>
      <c r="AC50" s="34">
        <f t="shared" si="26"/>
        <v>93</v>
      </c>
      <c r="AD50" s="34">
        <f t="shared" si="26"/>
        <v>0</v>
      </c>
      <c r="AE50" s="34">
        <f t="shared" si="26"/>
        <v>0</v>
      </c>
      <c r="AF50" s="34">
        <f t="shared" si="26"/>
        <v>0</v>
      </c>
      <c r="AG50" s="34">
        <f t="shared" si="26"/>
        <v>0</v>
      </c>
      <c r="AH50" s="34">
        <f t="shared" si="26"/>
        <v>142</v>
      </c>
      <c r="AI50" s="34">
        <f t="shared" si="26"/>
        <v>0</v>
      </c>
      <c r="AJ50" s="34">
        <f t="shared" si="26"/>
        <v>154</v>
      </c>
      <c r="AK50" s="34">
        <f t="shared" si="27"/>
        <v>0</v>
      </c>
    </row>
    <row r="51" spans="1:39">
      <c r="A51" s="52" t="s">
        <v>232</v>
      </c>
      <c r="B51" s="56"/>
      <c r="C51" s="32"/>
      <c r="D51" s="32"/>
      <c r="E51" s="32"/>
      <c r="F51" s="32"/>
      <c r="G51" s="32"/>
      <c r="H51" s="32"/>
      <c r="I51" s="32"/>
      <c r="J51" s="32">
        <v>125</v>
      </c>
      <c r="K51" s="32"/>
      <c r="L51" s="32"/>
      <c r="M51" s="32"/>
      <c r="N51" s="32"/>
      <c r="O51" s="32">
        <v>210</v>
      </c>
      <c r="P51" s="32"/>
      <c r="Q51" s="32">
        <v>205</v>
      </c>
      <c r="R51" s="32"/>
      <c r="T51" s="52" t="s">
        <v>232</v>
      </c>
      <c r="U51" s="34">
        <f t="shared" si="26"/>
        <v>0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0</v>
      </c>
      <c r="AA51" s="34">
        <f t="shared" si="26"/>
        <v>0</v>
      </c>
      <c r="AB51" s="34">
        <f t="shared" si="26"/>
        <v>0</v>
      </c>
      <c r="AC51" s="34">
        <f t="shared" si="26"/>
        <v>125</v>
      </c>
      <c r="AD51" s="34">
        <f t="shared" si="26"/>
        <v>0</v>
      </c>
      <c r="AE51" s="34">
        <f t="shared" si="26"/>
        <v>0</v>
      </c>
      <c r="AF51" s="34">
        <f t="shared" si="26"/>
        <v>0</v>
      </c>
      <c r="AG51" s="34">
        <f t="shared" si="26"/>
        <v>0</v>
      </c>
      <c r="AH51" s="34">
        <f t="shared" si="26"/>
        <v>210</v>
      </c>
      <c r="AI51" s="34">
        <f t="shared" si="26"/>
        <v>0</v>
      </c>
      <c r="AJ51" s="34">
        <f t="shared" si="26"/>
        <v>205</v>
      </c>
      <c r="AK51" s="34">
        <f t="shared" si="27"/>
        <v>0</v>
      </c>
    </row>
    <row r="52" spans="1:39">
      <c r="A52" s="52" t="s">
        <v>235</v>
      </c>
      <c r="B52" s="56"/>
      <c r="C52" s="32"/>
      <c r="D52" s="32"/>
      <c r="E52" s="32"/>
      <c r="F52" s="32"/>
      <c r="G52" s="32"/>
      <c r="H52" s="32"/>
      <c r="I52" s="32"/>
      <c r="J52" s="32">
        <v>127</v>
      </c>
      <c r="K52" s="32"/>
      <c r="L52" s="32"/>
      <c r="M52" s="32"/>
      <c r="N52" s="32"/>
      <c r="O52" s="32"/>
      <c r="P52" s="32"/>
      <c r="Q52" s="32">
        <v>212</v>
      </c>
      <c r="R52" s="32"/>
      <c r="T52" s="52" t="s">
        <v>235</v>
      </c>
      <c r="U52" s="34">
        <f t="shared" si="26"/>
        <v>0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0</v>
      </c>
      <c r="AA52" s="34">
        <f t="shared" si="26"/>
        <v>0</v>
      </c>
      <c r="AB52" s="34">
        <f t="shared" si="26"/>
        <v>0</v>
      </c>
      <c r="AC52" s="34">
        <f t="shared" si="26"/>
        <v>127</v>
      </c>
      <c r="AD52" s="34">
        <f t="shared" si="26"/>
        <v>0</v>
      </c>
      <c r="AE52" s="34">
        <f t="shared" si="26"/>
        <v>0</v>
      </c>
      <c r="AF52" s="34">
        <f t="shared" si="26"/>
        <v>0</v>
      </c>
      <c r="AG52" s="34">
        <f t="shared" si="26"/>
        <v>0</v>
      </c>
      <c r="AH52" s="34">
        <f t="shared" si="26"/>
        <v>0</v>
      </c>
      <c r="AI52" s="34">
        <f t="shared" si="26"/>
        <v>0</v>
      </c>
      <c r="AJ52" s="34">
        <f t="shared" si="26"/>
        <v>212</v>
      </c>
      <c r="AK52" s="34">
        <f t="shared" si="27"/>
        <v>0</v>
      </c>
    </row>
    <row r="53" spans="1:39">
      <c r="A53" s="52" t="s">
        <v>241</v>
      </c>
      <c r="B53" s="56"/>
      <c r="C53" s="32"/>
      <c r="D53" s="32"/>
      <c r="E53" s="32"/>
      <c r="F53" s="32"/>
      <c r="G53" s="32"/>
      <c r="H53" s="32"/>
      <c r="I53" s="32"/>
      <c r="J53" s="32">
        <v>132</v>
      </c>
      <c r="K53" s="32"/>
      <c r="L53" s="32"/>
      <c r="M53" s="32"/>
      <c r="N53" s="32"/>
      <c r="O53" s="32"/>
      <c r="P53" s="32"/>
      <c r="Q53" s="32"/>
      <c r="R53" s="32"/>
      <c r="T53" s="52" t="s">
        <v>241</v>
      </c>
      <c r="U53" s="34">
        <f t="shared" si="26"/>
        <v>0</v>
      </c>
      <c r="V53" s="34">
        <f t="shared" si="26"/>
        <v>0</v>
      </c>
      <c r="W53" s="34">
        <f t="shared" si="26"/>
        <v>0</v>
      </c>
      <c r="X53" s="34">
        <f t="shared" si="26"/>
        <v>0</v>
      </c>
      <c r="Y53" s="34">
        <f t="shared" si="26"/>
        <v>0</v>
      </c>
      <c r="Z53" s="34">
        <f t="shared" si="26"/>
        <v>0</v>
      </c>
      <c r="AA53" s="34">
        <f t="shared" si="26"/>
        <v>0</v>
      </c>
      <c r="AB53" s="34">
        <f t="shared" si="26"/>
        <v>0</v>
      </c>
      <c r="AC53" s="34">
        <f t="shared" si="26"/>
        <v>132</v>
      </c>
      <c r="AD53" s="34">
        <f t="shared" si="26"/>
        <v>0</v>
      </c>
      <c r="AE53" s="34">
        <f t="shared" si="26"/>
        <v>0</v>
      </c>
      <c r="AF53" s="34">
        <f t="shared" si="26"/>
        <v>0</v>
      </c>
      <c r="AG53" s="34">
        <f t="shared" si="26"/>
        <v>0</v>
      </c>
      <c r="AH53" s="34">
        <f t="shared" si="26"/>
        <v>0</v>
      </c>
      <c r="AI53" s="34">
        <f t="shared" si="26"/>
        <v>0</v>
      </c>
      <c r="AJ53" s="34">
        <f t="shared" si="26"/>
        <v>0</v>
      </c>
      <c r="AK53" s="34">
        <f t="shared" si="27"/>
        <v>0</v>
      </c>
    </row>
    <row r="54" spans="1:39">
      <c r="A54" s="52"/>
      <c r="B54" s="56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T54" s="52"/>
      <c r="U54" s="56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9" ht="15">
      <c r="A55" s="88" t="s">
        <v>930</v>
      </c>
      <c r="B55" s="32">
        <f t="shared" ref="B55:R55" ca="1" si="28">OFFSET(B117,ROW(B56)-ROW(B16)+1,0)</f>
        <v>30</v>
      </c>
      <c r="C55" s="32">
        <f t="shared" ca="1" si="28"/>
        <v>62</v>
      </c>
      <c r="D55" s="32">
        <f t="shared" ca="1" si="28"/>
        <v>49</v>
      </c>
      <c r="E55" s="32">
        <f t="shared" ca="1" si="28"/>
        <v>58</v>
      </c>
      <c r="F55" s="32">
        <f t="shared" ca="1" si="28"/>
        <v>53</v>
      </c>
      <c r="G55" s="32">
        <f t="shared" ca="1" si="28"/>
        <v>13</v>
      </c>
      <c r="H55" s="32">
        <f t="shared" ca="1" si="28"/>
        <v>20</v>
      </c>
      <c r="I55" s="32">
        <f t="shared" ca="1" si="28"/>
        <v>27</v>
      </c>
      <c r="J55" s="32">
        <f t="shared" ca="1" si="28"/>
        <v>4</v>
      </c>
      <c r="K55" s="32">
        <f t="shared" ca="1" si="28"/>
        <v>25</v>
      </c>
      <c r="L55" s="32">
        <f t="shared" ca="1" si="28"/>
        <v>48</v>
      </c>
      <c r="M55" s="32">
        <f t="shared" ca="1" si="28"/>
        <v>11</v>
      </c>
      <c r="N55" s="32">
        <f t="shared" ca="1" si="28"/>
        <v>54</v>
      </c>
      <c r="O55" s="32">
        <f t="shared" ca="1" si="28"/>
        <v>14</v>
      </c>
      <c r="P55" s="32">
        <f t="shared" ca="1" si="28"/>
        <v>49</v>
      </c>
      <c r="Q55" s="32">
        <f t="shared" ca="1" si="28"/>
        <v>45</v>
      </c>
      <c r="R55" s="32">
        <f t="shared" ca="1" si="28"/>
        <v>50</v>
      </c>
      <c r="S55" s="27"/>
      <c r="T55" s="88" t="s">
        <v>930</v>
      </c>
      <c r="U55" s="32">
        <f t="shared" ref="U55:AK55" ca="1" si="29">OFFSET(U117,ROW(U56)-ROW(U16)+1,0)</f>
        <v>30</v>
      </c>
      <c r="V55" s="32">
        <f t="shared" ca="1" si="29"/>
        <v>59</v>
      </c>
      <c r="W55" s="32">
        <f t="shared" ca="1" si="29"/>
        <v>48</v>
      </c>
      <c r="X55" s="32">
        <f t="shared" ca="1" si="29"/>
        <v>55</v>
      </c>
      <c r="Y55" s="32" t="str">
        <f t="shared" ca="1" si="29"/>
        <v xml:space="preserve">- </v>
      </c>
      <c r="Z55" s="32">
        <f t="shared" ca="1" si="29"/>
        <v>13</v>
      </c>
      <c r="AA55" s="32">
        <f t="shared" ca="1" si="29"/>
        <v>20</v>
      </c>
      <c r="AB55" s="32">
        <f t="shared" ca="1" si="29"/>
        <v>27</v>
      </c>
      <c r="AC55" s="32">
        <f t="shared" ca="1" si="29"/>
        <v>4</v>
      </c>
      <c r="AD55" s="32">
        <f t="shared" ca="1" si="29"/>
        <v>25</v>
      </c>
      <c r="AE55" s="32">
        <f t="shared" ca="1" si="29"/>
        <v>46</v>
      </c>
      <c r="AF55" s="32">
        <f t="shared" ca="1" si="29"/>
        <v>11</v>
      </c>
      <c r="AG55" s="32">
        <f t="shared" ca="1" si="29"/>
        <v>53</v>
      </c>
      <c r="AH55" s="32">
        <f t="shared" ca="1" si="29"/>
        <v>14</v>
      </c>
      <c r="AI55" s="32">
        <f t="shared" ca="1" si="29"/>
        <v>47</v>
      </c>
      <c r="AJ55" s="32">
        <f t="shared" ca="1" si="29"/>
        <v>44</v>
      </c>
      <c r="AK55" s="32">
        <f t="shared" ca="1" si="29"/>
        <v>48</v>
      </c>
    </row>
    <row r="56" spans="1:39">
      <c r="A56" s="52" t="s">
        <v>931</v>
      </c>
      <c r="B56" s="32">
        <f ca="1">B42+B55</f>
        <v>39</v>
      </c>
      <c r="C56" s="32">
        <f t="shared" ref="C56:R56" ca="1" si="30">C42+C55</f>
        <v>76</v>
      </c>
      <c r="D56" s="32">
        <f ca="1">D42+D55</f>
        <v>59</v>
      </c>
      <c r="E56" s="32">
        <f t="shared" ca="1" si="30"/>
        <v>75</v>
      </c>
      <c r="F56" s="32">
        <f t="shared" ca="1" si="30"/>
        <v>68</v>
      </c>
      <c r="G56" s="32">
        <f t="shared" ca="1" si="30"/>
        <v>16</v>
      </c>
      <c r="H56" s="32">
        <f t="shared" ca="1" si="30"/>
        <v>28</v>
      </c>
      <c r="I56" s="32">
        <f t="shared" ca="1" si="30"/>
        <v>32</v>
      </c>
      <c r="J56" s="32">
        <f t="shared" ca="1" si="30"/>
        <v>5</v>
      </c>
      <c r="K56" s="32">
        <f t="shared" ca="1" si="30"/>
        <v>32</v>
      </c>
      <c r="L56" s="32">
        <f t="shared" ca="1" si="30"/>
        <v>59</v>
      </c>
      <c r="M56" s="32">
        <f ca="1">M42+M55</f>
        <v>15</v>
      </c>
      <c r="N56" s="32">
        <f t="shared" ca="1" si="30"/>
        <v>70</v>
      </c>
      <c r="O56" s="32">
        <f t="shared" ca="1" si="30"/>
        <v>16</v>
      </c>
      <c r="P56" s="32">
        <f t="shared" ca="1" si="30"/>
        <v>62</v>
      </c>
      <c r="Q56" s="32">
        <f t="shared" ca="1" si="30"/>
        <v>51</v>
      </c>
      <c r="R56" s="32">
        <f t="shared" ca="1" si="30"/>
        <v>62</v>
      </c>
      <c r="T56" s="52" t="s">
        <v>931</v>
      </c>
      <c r="U56" s="32">
        <f ca="1">IF(U$4="N","- ",U42+U55)</f>
        <v>39</v>
      </c>
      <c r="V56" s="32">
        <f ca="1">IF(V$4="N","- ",V42+V55)</f>
        <v>73</v>
      </c>
      <c r="W56" s="32">
        <f ca="1">IF(W$4="N","- ",W42+W55)</f>
        <v>58</v>
      </c>
      <c r="X56" s="32">
        <f ca="1">IF(X$4="N","- ",X42+X55)</f>
        <v>71</v>
      </c>
      <c r="Y56" s="32" t="str">
        <f>IF(Y$4="N","- ",Y42+Y55)</f>
        <v xml:space="preserve">- </v>
      </c>
      <c r="Z56" s="32">
        <f t="shared" ref="Z56:AK56" ca="1" si="31">IF(Z$4="N","- ",Z42+Z55)</f>
        <v>16</v>
      </c>
      <c r="AA56" s="32">
        <f t="shared" ca="1" si="31"/>
        <v>28</v>
      </c>
      <c r="AB56" s="32">
        <f t="shared" ca="1" si="31"/>
        <v>32</v>
      </c>
      <c r="AC56" s="32">
        <f t="shared" ca="1" si="31"/>
        <v>5</v>
      </c>
      <c r="AD56" s="32">
        <f t="shared" ca="1" si="31"/>
        <v>32</v>
      </c>
      <c r="AE56" s="32">
        <f t="shared" ca="1" si="31"/>
        <v>57</v>
      </c>
      <c r="AF56" s="32">
        <f t="shared" ca="1" si="31"/>
        <v>15</v>
      </c>
      <c r="AG56" s="32">
        <f t="shared" ca="1" si="31"/>
        <v>68</v>
      </c>
      <c r="AH56" s="32">
        <f t="shared" ca="1" si="31"/>
        <v>16</v>
      </c>
      <c r="AI56" s="32">
        <f t="shared" ca="1" si="31"/>
        <v>60</v>
      </c>
      <c r="AJ56" s="32">
        <f t="shared" ca="1" si="31"/>
        <v>50</v>
      </c>
      <c r="AK56" s="32">
        <f t="shared" ca="1" si="31"/>
        <v>60</v>
      </c>
    </row>
    <row r="57" spans="1:39">
      <c r="A57" s="52" t="s">
        <v>932</v>
      </c>
      <c r="B57" s="75">
        <f t="shared" ref="B57:R57" ca="1" si="32">COUNTIF($A56:$S56,"&lt;"&amp;B56)+1</f>
        <v>8</v>
      </c>
      <c r="C57" s="75">
        <f t="shared" ca="1" si="32"/>
        <v>17</v>
      </c>
      <c r="D57" s="75">
        <f t="shared" ca="1" si="32"/>
        <v>10</v>
      </c>
      <c r="E57" s="75">
        <f t="shared" ca="1" si="32"/>
        <v>16</v>
      </c>
      <c r="F57" s="75">
        <f t="shared" ca="1" si="32"/>
        <v>14</v>
      </c>
      <c r="G57" s="75">
        <f t="shared" ca="1" si="32"/>
        <v>3</v>
      </c>
      <c r="H57" s="75">
        <f t="shared" ca="1" si="32"/>
        <v>5</v>
      </c>
      <c r="I57" s="75">
        <f t="shared" ca="1" si="32"/>
        <v>6</v>
      </c>
      <c r="J57" s="75">
        <f t="shared" ca="1" si="32"/>
        <v>1</v>
      </c>
      <c r="K57" s="75">
        <f t="shared" ca="1" si="32"/>
        <v>6</v>
      </c>
      <c r="L57" s="75">
        <f t="shared" ca="1" si="32"/>
        <v>10</v>
      </c>
      <c r="M57" s="75">
        <f t="shared" ca="1" si="32"/>
        <v>2</v>
      </c>
      <c r="N57" s="75">
        <f t="shared" ca="1" si="32"/>
        <v>15</v>
      </c>
      <c r="O57" s="75">
        <f t="shared" ca="1" si="32"/>
        <v>3</v>
      </c>
      <c r="P57" s="75">
        <f t="shared" ca="1" si="32"/>
        <v>12</v>
      </c>
      <c r="Q57" s="75">
        <f t="shared" ca="1" si="32"/>
        <v>9</v>
      </c>
      <c r="R57" s="75">
        <f t="shared" ca="1" si="32"/>
        <v>12</v>
      </c>
      <c r="T57" s="52" t="s">
        <v>932</v>
      </c>
      <c r="U57" s="75">
        <f t="shared" ref="U57:AK57" ca="1" si="33">IF(U$4="N","- ",COUNTIF($T56:$AL56,"&lt;"&amp;U56)+1)</f>
        <v>8</v>
      </c>
      <c r="V57" s="75">
        <f t="shared" ca="1" si="33"/>
        <v>16</v>
      </c>
      <c r="W57" s="75">
        <f t="shared" ca="1" si="33"/>
        <v>11</v>
      </c>
      <c r="X57" s="75">
        <f t="shared" ca="1" si="33"/>
        <v>15</v>
      </c>
      <c r="Y57" s="75" t="str">
        <f t="shared" si="33"/>
        <v xml:space="preserve">- </v>
      </c>
      <c r="Z57" s="75">
        <f t="shared" ca="1" si="33"/>
        <v>3</v>
      </c>
      <c r="AA57" s="75">
        <f t="shared" ca="1" si="33"/>
        <v>5</v>
      </c>
      <c r="AB57" s="75">
        <f t="shared" ca="1" si="33"/>
        <v>6</v>
      </c>
      <c r="AC57" s="75">
        <f t="shared" ca="1" si="33"/>
        <v>1</v>
      </c>
      <c r="AD57" s="75">
        <f t="shared" ca="1" si="33"/>
        <v>6</v>
      </c>
      <c r="AE57" s="75">
        <f t="shared" ca="1" si="33"/>
        <v>10</v>
      </c>
      <c r="AF57" s="75">
        <f t="shared" ca="1" si="33"/>
        <v>2</v>
      </c>
      <c r="AG57" s="75">
        <f t="shared" ca="1" si="33"/>
        <v>14</v>
      </c>
      <c r="AH57" s="75">
        <f t="shared" ca="1" si="33"/>
        <v>3</v>
      </c>
      <c r="AI57" s="75">
        <f t="shared" ca="1" si="33"/>
        <v>12</v>
      </c>
      <c r="AJ57" s="75">
        <f t="shared" ca="1" si="33"/>
        <v>9</v>
      </c>
      <c r="AK57" s="75">
        <f t="shared" ca="1" si="33"/>
        <v>12</v>
      </c>
    </row>
    <row r="58" spans="1:39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9" hidden="1" outlineLevel="1">
      <c r="A59" s="89" t="s">
        <v>933</v>
      </c>
      <c r="B59" s="90">
        <f t="shared" ref="B59:R59" ca="1" si="34">B56+IF(B85&gt;0,SMALL(B85:B91,1)/100,0)+IF(B86&gt;0,SMALL(B85:B91,2)/1000,0)+IF(B87&gt;0,SMALL(B85:B91,3)/10000,0)+IF(B88&gt;0,SMALL(B85:B91,4)/100000,0)+IF(B89&gt;0,SMALL(B85:B91,5)/1000000,0)</f>
        <v>39.068888999999999</v>
      </c>
      <c r="C59" s="90">
        <f t="shared" ca="1" si="34"/>
        <v>76.155586999999997</v>
      </c>
      <c r="D59" s="90">
        <f t="shared" ca="1" si="34"/>
        <v>59.111244999999997</v>
      </c>
      <c r="E59" s="90">
        <f t="shared" ca="1" si="34"/>
        <v>75.136676999999992</v>
      </c>
      <c r="F59" s="90">
        <f t="shared" ca="1" si="34"/>
        <v>68.104567000000017</v>
      </c>
      <c r="G59" s="90">
        <f t="shared" ca="1" si="34"/>
        <v>16.023334999999999</v>
      </c>
      <c r="H59" s="90">
        <f t="shared" ca="1" si="34"/>
        <v>28.044578000000001</v>
      </c>
      <c r="I59" s="90">
        <f t="shared" ca="1" si="34"/>
        <v>32.055778000000004</v>
      </c>
      <c r="J59" s="90">
        <f t="shared" ca="1" si="34"/>
        <v>5.0111109999999996</v>
      </c>
      <c r="K59" s="90">
        <f t="shared" ca="1" si="34"/>
        <v>32.066676999999999</v>
      </c>
      <c r="L59" s="90">
        <f t="shared" ca="1" si="34"/>
        <v>59.100256000000009</v>
      </c>
      <c r="M59" s="90">
        <f t="shared" ca="1" si="34"/>
        <v>15.022245</v>
      </c>
      <c r="N59" s="90">
        <f t="shared" ca="1" si="34"/>
        <v>70.114675999999989</v>
      </c>
      <c r="O59" s="90">
        <f t="shared" ca="1" si="34"/>
        <v>16.023343999999998</v>
      </c>
      <c r="P59" s="90">
        <f t="shared" ca="1" si="34"/>
        <v>62.101447</v>
      </c>
      <c r="Q59" s="90">
        <f t="shared" ca="1" si="34"/>
        <v>51.072222000000004</v>
      </c>
      <c r="R59" s="90">
        <f t="shared" ca="1" si="34"/>
        <v>62.113336000000004</v>
      </c>
      <c r="T59" s="89" t="s">
        <v>933</v>
      </c>
      <c r="U59" s="91">
        <f t="shared" ref="U59:AK59" ca="1" si="35">IF(U$4="N","N/A",U56+IF(U85&gt;0,SMALL(U85:U91,1)/100,0)+IF(U86&gt;0,SMALL(U85:U91,2)/1000,0)+IF(U87&gt;0,SMALL(U85:U91,3)/10000,0)+IF(U88&gt;0,SMALL(U85:U91,4)/100000,0)+IF(U89&gt;0,SMALL(U85:U91,5)/1000000,0))</f>
        <v>39.068888999999999</v>
      </c>
      <c r="V59" s="91">
        <f t="shared" ca="1" si="35"/>
        <v>73.145575999999991</v>
      </c>
      <c r="W59" s="91">
        <f t="shared" ca="1" si="35"/>
        <v>58.111243999999999</v>
      </c>
      <c r="X59" s="91">
        <f t="shared" ca="1" si="35"/>
        <v>71.125575999999995</v>
      </c>
      <c r="Y59" s="91" t="str">
        <f t="shared" si="35"/>
        <v>N/A</v>
      </c>
      <c r="Z59" s="91">
        <f t="shared" ca="1" si="35"/>
        <v>16.023334999999999</v>
      </c>
      <c r="AA59" s="91">
        <f t="shared" ca="1" si="35"/>
        <v>28.044578000000001</v>
      </c>
      <c r="AB59" s="91">
        <f t="shared" ca="1" si="35"/>
        <v>32.055778000000004</v>
      </c>
      <c r="AC59" s="91">
        <f t="shared" ca="1" si="35"/>
        <v>5.0111109999999996</v>
      </c>
      <c r="AD59" s="91">
        <f t="shared" ca="1" si="35"/>
        <v>32.066676999999999</v>
      </c>
      <c r="AE59" s="91">
        <f t="shared" ca="1" si="35"/>
        <v>57.100245000000001</v>
      </c>
      <c r="AF59" s="91">
        <f t="shared" ca="1" si="35"/>
        <v>15.022245</v>
      </c>
      <c r="AG59" s="91">
        <f t="shared" ca="1" si="35"/>
        <v>68.114665000000002</v>
      </c>
      <c r="AH59" s="91">
        <f t="shared" ca="1" si="35"/>
        <v>16.023343999999998</v>
      </c>
      <c r="AI59" s="91">
        <f t="shared" ca="1" si="35"/>
        <v>60.101345999999999</v>
      </c>
      <c r="AJ59" s="91">
        <f t="shared" ca="1" si="35"/>
        <v>50.071221999999999</v>
      </c>
      <c r="AK59" s="91">
        <f t="shared" ca="1" si="35"/>
        <v>60.103335000000001</v>
      </c>
      <c r="AM59" s="70" t="s">
        <v>934</v>
      </c>
    </row>
    <row r="60" spans="1:39" collapsed="1">
      <c r="B60" s="52" t="str">
        <f>B$3</f>
        <v>A80</v>
      </c>
      <c r="C60" s="52" t="str">
        <f t="shared" ref="C60:R60" si="36">C$3</f>
        <v>BEX</v>
      </c>
      <c r="D60" s="52" t="str">
        <f t="shared" si="36"/>
        <v>FRONTR</v>
      </c>
      <c r="E60" s="52" t="str">
        <f t="shared" si="36"/>
        <v>BTNTRI</v>
      </c>
      <c r="F60" s="52" t="str">
        <f t="shared" si="36"/>
        <v>CPA</v>
      </c>
      <c r="G60" s="52" t="str">
        <f t="shared" si="36"/>
        <v>CROW</v>
      </c>
      <c r="H60" s="52" t="str">
        <f t="shared" si="36"/>
        <v>EAST/BDY</v>
      </c>
      <c r="I60" s="52" t="str">
        <f t="shared" si="36"/>
        <v>HAIL</v>
      </c>
      <c r="J60" s="52" t="str">
        <f t="shared" si="36"/>
        <v>HR/HAC</v>
      </c>
      <c r="K60" s="52" t="str">
        <f t="shared" si="36"/>
        <v>HTH/UCK</v>
      </c>
      <c r="L60" s="52" t="str">
        <f t="shared" si="36"/>
        <v>HYR</v>
      </c>
      <c r="M60" s="52" t="str">
        <f t="shared" si="36"/>
        <v>LEW</v>
      </c>
      <c r="N60" s="52" t="str">
        <f t="shared" si="36"/>
        <v>MEAD</v>
      </c>
      <c r="O60" s="52" t="str">
        <f t="shared" si="36"/>
        <v>PSST</v>
      </c>
      <c r="P60" s="52" t="str">
        <f t="shared" si="36"/>
        <v>HEDGE</v>
      </c>
      <c r="Q60" s="52" t="str">
        <f t="shared" si="36"/>
        <v>RUNW</v>
      </c>
      <c r="R60" s="52" t="str">
        <f t="shared" si="36"/>
        <v>WAD</v>
      </c>
      <c r="U60" s="52" t="str">
        <f>U$3</f>
        <v>A80</v>
      </c>
      <c r="V60" s="52" t="str">
        <f t="shared" ref="V60:AK60" si="37">V$3</f>
        <v>BEX</v>
      </c>
      <c r="W60" s="52" t="str">
        <f t="shared" si="37"/>
        <v>FRONTR</v>
      </c>
      <c r="X60" s="52" t="str">
        <f t="shared" si="37"/>
        <v>BTNTRI</v>
      </c>
      <c r="Y60" s="52" t="str">
        <f t="shared" si="37"/>
        <v>CPA</v>
      </c>
      <c r="Z60" s="52" t="str">
        <f t="shared" si="37"/>
        <v>CROW</v>
      </c>
      <c r="AA60" s="52" t="str">
        <f t="shared" si="37"/>
        <v>EAST/BDY</v>
      </c>
      <c r="AB60" s="52" t="str">
        <f t="shared" si="37"/>
        <v>HAIL</v>
      </c>
      <c r="AC60" s="52" t="str">
        <f t="shared" si="37"/>
        <v>HR/HAC</v>
      </c>
      <c r="AD60" s="52" t="str">
        <f t="shared" si="37"/>
        <v>HTH/UCK</v>
      </c>
      <c r="AE60" s="52" t="str">
        <f t="shared" si="37"/>
        <v>HYR</v>
      </c>
      <c r="AF60" s="52" t="str">
        <f t="shared" si="37"/>
        <v>LEW</v>
      </c>
      <c r="AG60" s="52" t="str">
        <f t="shared" si="37"/>
        <v>MEAD</v>
      </c>
      <c r="AH60" s="52" t="str">
        <f t="shared" si="37"/>
        <v>PSST</v>
      </c>
      <c r="AI60" s="52" t="str">
        <f t="shared" si="37"/>
        <v>HEDGE</v>
      </c>
      <c r="AJ60" s="52" t="str">
        <f t="shared" si="37"/>
        <v>RUNW</v>
      </c>
      <c r="AK60" s="52" t="str">
        <f t="shared" si="37"/>
        <v>WAD</v>
      </c>
    </row>
    <row r="61" spans="1:39" ht="15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</row>
    <row r="62" spans="1:39">
      <c r="A62" s="92" t="s">
        <v>935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T62" s="92" t="s">
        <v>935</v>
      </c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</row>
    <row r="63" spans="1:39">
      <c r="A63" s="92" t="s">
        <v>53</v>
      </c>
      <c r="B63" s="1" t="s">
        <v>52</v>
      </c>
      <c r="E63" s="27"/>
      <c r="F63" s="27"/>
      <c r="T63" s="92" t="str">
        <f>A63</f>
        <v>A80</v>
      </c>
      <c r="U63" s="1" t="str">
        <f t="shared" ref="U63:U69" si="38">B63</f>
        <v>Arena 80 AC</v>
      </c>
    </row>
    <row r="64" spans="1:39">
      <c r="A64" s="92" t="s">
        <v>84</v>
      </c>
      <c r="B64" s="1" t="s">
        <v>83</v>
      </c>
      <c r="E64" s="27"/>
      <c r="F64" s="27"/>
      <c r="T64" s="92" t="str">
        <f t="shared" ref="T64:U77" si="39">A64</f>
        <v>BEX</v>
      </c>
      <c r="U64" s="1" t="str">
        <f t="shared" si="38"/>
        <v>Bexhill Run Tri</v>
      </c>
    </row>
    <row r="65" spans="1:37" ht="15">
      <c r="A65" s="92" t="s">
        <v>76</v>
      </c>
      <c r="B65" s="1" t="s">
        <v>1332</v>
      </c>
      <c r="E65" s="27"/>
      <c r="F65" s="27"/>
      <c r="T65" s="93" t="str">
        <f t="shared" si="39"/>
        <v>FRONTR</v>
      </c>
      <c r="U65" s="1" t="str">
        <f t="shared" si="38"/>
        <v>Brighton and Hove Frontrunners</v>
      </c>
    </row>
    <row r="66" spans="1:37" ht="15">
      <c r="A66" s="92" t="s">
        <v>412</v>
      </c>
      <c r="B66" s="1" t="s">
        <v>1333</v>
      </c>
      <c r="E66" s="27"/>
      <c r="F66" s="27"/>
      <c r="T66" s="93" t="str">
        <f t="shared" si="39"/>
        <v>BTNTRI</v>
      </c>
      <c r="U66" s="1" t="str">
        <f t="shared" si="38"/>
        <v>Brighton Tri Club</v>
      </c>
    </row>
    <row r="67" spans="1:37">
      <c r="A67" s="92" t="s">
        <v>201</v>
      </c>
      <c r="B67" s="1" t="s">
        <v>200</v>
      </c>
      <c r="E67" s="27"/>
      <c r="F67" s="27"/>
      <c r="T67" s="92" t="str">
        <f t="shared" si="39"/>
        <v>CPA</v>
      </c>
      <c r="U67" s="1" t="str">
        <f t="shared" si="38"/>
        <v>Central Park Athletics</v>
      </c>
    </row>
    <row r="68" spans="1:37">
      <c r="A68" s="92" t="s">
        <v>38</v>
      </c>
      <c r="B68" s="1" t="s">
        <v>37</v>
      </c>
      <c r="E68" s="27"/>
      <c r="F68" s="27"/>
      <c r="T68" s="92" t="str">
        <f t="shared" si="39"/>
        <v>CROW</v>
      </c>
      <c r="U68" s="1" t="str">
        <f t="shared" si="38"/>
        <v>Crowborough Runners</v>
      </c>
    </row>
    <row r="69" spans="1:37">
      <c r="A69" s="92" t="s">
        <v>58</v>
      </c>
      <c r="B69" s="1" t="s">
        <v>1334</v>
      </c>
      <c r="E69" s="27"/>
      <c r="F69" s="27"/>
      <c r="T69" s="92" t="str">
        <f t="shared" si="39"/>
        <v>EAST/BDY</v>
      </c>
      <c r="U69" s="1" t="str">
        <f t="shared" si="38"/>
        <v>Eastbourne Rovers and Team Bodyworks</v>
      </c>
    </row>
    <row r="70" spans="1:37">
      <c r="A70" s="92" t="s">
        <v>66</v>
      </c>
      <c r="B70" s="1" t="s">
        <v>65</v>
      </c>
      <c r="E70" s="27"/>
      <c r="F70" s="27"/>
      <c r="T70" s="92" t="str">
        <f t="shared" si="39"/>
        <v>HAIL</v>
      </c>
      <c r="U70" s="1" t="str">
        <f t="shared" si="39"/>
        <v>Hailsham Harriers</v>
      </c>
    </row>
    <row r="71" spans="1:37">
      <c r="A71" s="92" t="s">
        <v>20</v>
      </c>
      <c r="B71" s="1" t="s">
        <v>1335</v>
      </c>
      <c r="E71" s="27"/>
      <c r="F71" s="27"/>
      <c r="T71" s="92" t="str">
        <f t="shared" si="39"/>
        <v>HR/HAC</v>
      </c>
      <c r="U71" s="1" t="str">
        <f t="shared" si="39"/>
        <v>Hastings Runners and Hastings AC</v>
      </c>
    </row>
    <row r="72" spans="1:37">
      <c r="A72" s="92" t="s">
        <v>26</v>
      </c>
      <c r="B72" s="1" t="s">
        <v>1336</v>
      </c>
      <c r="E72" s="27"/>
      <c r="F72" s="27"/>
      <c r="T72" s="92" t="str">
        <f t="shared" si="39"/>
        <v>HTH/UCK</v>
      </c>
      <c r="U72" s="1" t="str">
        <f t="shared" si="39"/>
        <v>Heathfield Road Runners and Uckfield Runners</v>
      </c>
    </row>
    <row r="73" spans="1:37">
      <c r="A73" s="92" t="s">
        <v>29</v>
      </c>
      <c r="B73" s="1" t="s">
        <v>28</v>
      </c>
      <c r="E73" s="27"/>
      <c r="F73" s="27"/>
      <c r="T73" s="92" t="str">
        <f t="shared" si="39"/>
        <v>HYR</v>
      </c>
      <c r="U73" s="1" t="str">
        <f t="shared" si="39"/>
        <v>HY Runners</v>
      </c>
    </row>
    <row r="74" spans="1:37">
      <c r="A74" s="92" t="s">
        <v>50</v>
      </c>
      <c r="B74" s="1" t="s">
        <v>49</v>
      </c>
      <c r="E74" s="27"/>
      <c r="F74" s="27"/>
      <c r="T74" s="92" t="str">
        <f t="shared" si="39"/>
        <v>LEW</v>
      </c>
      <c r="U74" s="1" t="str">
        <f t="shared" si="39"/>
        <v>Lewes AC</v>
      </c>
    </row>
    <row r="75" spans="1:37">
      <c r="A75" s="92" t="s">
        <v>162</v>
      </c>
      <c r="B75" s="1" t="s">
        <v>161</v>
      </c>
      <c r="E75" s="27"/>
      <c r="F75" s="27"/>
      <c r="T75" s="92" t="str">
        <f t="shared" si="39"/>
        <v>MEAD</v>
      </c>
      <c r="U75" s="1" t="str">
        <f t="shared" si="39"/>
        <v>Meads Runners</v>
      </c>
    </row>
    <row r="76" spans="1:37">
      <c r="A76" s="92" t="s">
        <v>62</v>
      </c>
      <c r="B76" s="1" t="s">
        <v>1337</v>
      </c>
      <c r="E76" s="27"/>
      <c r="F76" s="27"/>
      <c r="T76" s="92" t="str">
        <f t="shared" si="39"/>
        <v>PSST</v>
      </c>
      <c r="U76" s="1" t="str">
        <f t="shared" si="39"/>
        <v xml:space="preserve">Polegate Plodders, Seafront Shufflers, Seaford Striders and Tri Tempo </v>
      </c>
    </row>
    <row r="77" spans="1:37">
      <c r="A77" s="92" t="s">
        <v>93</v>
      </c>
      <c r="B77" s="1" t="s">
        <v>92</v>
      </c>
      <c r="E77" s="27"/>
      <c r="F77" s="27"/>
      <c r="T77" s="92" t="str">
        <f t="shared" si="39"/>
        <v>HEDGE</v>
      </c>
      <c r="U77" s="1" t="str">
        <f t="shared" si="39"/>
        <v>Portslade Hedgehoppers</v>
      </c>
    </row>
    <row r="78" spans="1:37">
      <c r="A78" s="92" t="s">
        <v>118</v>
      </c>
      <c r="B78" s="1" t="s">
        <v>1338</v>
      </c>
      <c r="E78" s="27"/>
      <c r="F78" s="27"/>
      <c r="T78" s="92" t="str">
        <f>A78</f>
        <v>RUNW</v>
      </c>
      <c r="U78" s="1" t="str">
        <f>B78</f>
        <v>Run Wednesdays</v>
      </c>
    </row>
    <row r="79" spans="1:37" ht="3" customHeight="1"/>
    <row r="80" spans="1:37" ht="26.25">
      <c r="A80" s="15" t="s">
        <v>1320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84"/>
      <c r="M80" s="84"/>
      <c r="N80" s="85"/>
      <c r="O80" s="86"/>
      <c r="P80" s="86"/>
      <c r="R80" s="87" t="e">
        <f>"Race "&amp;ControlRaceNo&amp;" of "&amp;ControlNoOfRaces</f>
        <v>#NAME?</v>
      </c>
      <c r="T80" s="15" t="s">
        <v>1320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84"/>
      <c r="AF80" s="18"/>
      <c r="AG80" s="18"/>
      <c r="AH80" s="86"/>
      <c r="AI80" s="86"/>
      <c r="AJ80" s="86"/>
      <c r="AK80" s="87" t="e">
        <f>"Race "&amp;ControlRaceNo&amp;" of "&amp;ControlNoOfRaces</f>
        <v>#NAME?</v>
      </c>
    </row>
    <row r="81" spans="1:37">
      <c r="A81" s="92" t="s">
        <v>936</v>
      </c>
    </row>
    <row r="82" spans="1:37">
      <c r="A82" s="26" t="str">
        <f>A17</f>
        <v>ALL CLUBS: 17 TEAMS (note awards are based on table excluding non East Sussex Clubs)</v>
      </c>
      <c r="T82" s="26" t="str">
        <f>T17</f>
        <v>EAST SUSSEX CLUBS: 15 TEAMS (Only East Sussex Teams qualify for awards: awards are awarded as per this table)</v>
      </c>
    </row>
    <row r="83" spans="1:37">
      <c r="A83" s="26"/>
      <c r="T83" s="26"/>
    </row>
    <row r="84" spans="1:37">
      <c r="A84" s="26"/>
      <c r="B84" s="52" t="str">
        <f>B$3</f>
        <v>A80</v>
      </c>
      <c r="C84" s="52" t="str">
        <f t="shared" ref="C84:R84" si="40">C$3</f>
        <v>BEX</v>
      </c>
      <c r="D84" s="52" t="str">
        <f t="shared" si="40"/>
        <v>FRONTR</v>
      </c>
      <c r="E84" s="52" t="str">
        <f t="shared" si="40"/>
        <v>BTNTRI</v>
      </c>
      <c r="F84" s="52" t="str">
        <f t="shared" si="40"/>
        <v>CPA</v>
      </c>
      <c r="G84" s="52" t="str">
        <f t="shared" si="40"/>
        <v>CROW</v>
      </c>
      <c r="H84" s="52" t="str">
        <f t="shared" si="40"/>
        <v>EAST/BDY</v>
      </c>
      <c r="I84" s="52" t="str">
        <f t="shared" si="40"/>
        <v>HAIL</v>
      </c>
      <c r="J84" s="52" t="str">
        <f t="shared" si="40"/>
        <v>HR/HAC</v>
      </c>
      <c r="K84" s="52" t="str">
        <f t="shared" si="40"/>
        <v>HTH/UCK</v>
      </c>
      <c r="L84" s="52" t="str">
        <f t="shared" si="40"/>
        <v>HYR</v>
      </c>
      <c r="M84" s="52" t="str">
        <f t="shared" si="40"/>
        <v>LEW</v>
      </c>
      <c r="N84" s="52" t="str">
        <f t="shared" si="40"/>
        <v>MEAD</v>
      </c>
      <c r="O84" s="52" t="str">
        <f t="shared" si="40"/>
        <v>PSST</v>
      </c>
      <c r="P84" s="52" t="str">
        <f t="shared" si="40"/>
        <v>HEDGE</v>
      </c>
      <c r="Q84" s="52" t="str">
        <f t="shared" si="40"/>
        <v>RUNW</v>
      </c>
      <c r="R84" s="52" t="str">
        <f t="shared" si="40"/>
        <v>WAD</v>
      </c>
      <c r="T84" s="26"/>
      <c r="U84" s="52" t="str">
        <f>U$3</f>
        <v>A80</v>
      </c>
      <c r="V84" s="52" t="str">
        <f t="shared" ref="V84:AK84" si="41">V$3</f>
        <v>BEX</v>
      </c>
      <c r="W84" s="52" t="str">
        <f t="shared" si="41"/>
        <v>FRONTR</v>
      </c>
      <c r="X84" s="52" t="str">
        <f t="shared" si="41"/>
        <v>BTNTRI</v>
      </c>
      <c r="Y84" s="52" t="str">
        <f t="shared" si="41"/>
        <v>CPA</v>
      </c>
      <c r="Z84" s="52" t="str">
        <f t="shared" si="41"/>
        <v>CROW</v>
      </c>
      <c r="AA84" s="52" t="str">
        <f t="shared" si="41"/>
        <v>EAST/BDY</v>
      </c>
      <c r="AB84" s="52" t="str">
        <f t="shared" si="41"/>
        <v>HAIL</v>
      </c>
      <c r="AC84" s="52" t="str">
        <f t="shared" si="41"/>
        <v>HR/HAC</v>
      </c>
      <c r="AD84" s="52" t="str">
        <f t="shared" si="41"/>
        <v>HTH/UCK</v>
      </c>
      <c r="AE84" s="52" t="str">
        <f t="shared" si="41"/>
        <v>HYR</v>
      </c>
      <c r="AF84" s="52" t="str">
        <f t="shared" si="41"/>
        <v>LEW</v>
      </c>
      <c r="AG84" s="52" t="str">
        <f t="shared" si="41"/>
        <v>MEAD</v>
      </c>
      <c r="AH84" s="52" t="str">
        <f t="shared" si="41"/>
        <v>PSST</v>
      </c>
      <c r="AI84" s="52" t="str">
        <f t="shared" si="41"/>
        <v>HEDGE</v>
      </c>
      <c r="AJ84" s="52" t="str">
        <f t="shared" si="41"/>
        <v>RUNW</v>
      </c>
      <c r="AK84" s="52" t="str">
        <f t="shared" si="41"/>
        <v>WAD</v>
      </c>
    </row>
    <row r="85" spans="1:37">
      <c r="A85" s="68">
        <v>1</v>
      </c>
      <c r="B85" s="32">
        <v>8</v>
      </c>
      <c r="C85" s="32">
        <v>14</v>
      </c>
      <c r="D85" s="32">
        <v>11</v>
      </c>
      <c r="E85" s="32">
        <v>15</v>
      </c>
      <c r="F85" s="32">
        <v>13</v>
      </c>
      <c r="G85" s="32">
        <v>3</v>
      </c>
      <c r="H85" s="32">
        <v>5</v>
      </c>
      <c r="I85" s="32">
        <v>7</v>
      </c>
      <c r="J85" s="32">
        <v>1</v>
      </c>
      <c r="K85" s="32">
        <v>6</v>
      </c>
      <c r="L85" s="32">
        <v>9</v>
      </c>
      <c r="M85" s="32">
        <v>2</v>
      </c>
      <c r="N85" s="32">
        <v>10</v>
      </c>
      <c r="O85" s="32">
        <v>4</v>
      </c>
      <c r="P85" s="32">
        <v>17</v>
      </c>
      <c r="Q85" s="32">
        <v>12</v>
      </c>
      <c r="R85" s="32">
        <v>16</v>
      </c>
      <c r="T85" s="68">
        <f t="shared" ref="T85:T90" si="42">A85</f>
        <v>1</v>
      </c>
      <c r="U85" s="25">
        <v>8</v>
      </c>
      <c r="V85" s="25">
        <v>13</v>
      </c>
      <c r="W85" s="25">
        <v>11</v>
      </c>
      <c r="X85" s="25">
        <v>14</v>
      </c>
      <c r="Y85" s="25" t="s">
        <v>937</v>
      </c>
      <c r="Z85" s="25">
        <v>3</v>
      </c>
      <c r="AA85" s="25">
        <v>5</v>
      </c>
      <c r="AB85" s="25">
        <v>7</v>
      </c>
      <c r="AC85" s="25">
        <v>1</v>
      </c>
      <c r="AD85" s="25">
        <v>6</v>
      </c>
      <c r="AE85" s="25">
        <v>9</v>
      </c>
      <c r="AF85" s="25">
        <v>2</v>
      </c>
      <c r="AG85" s="25">
        <v>10</v>
      </c>
      <c r="AH85" s="25">
        <v>4</v>
      </c>
      <c r="AI85" s="25">
        <v>16</v>
      </c>
      <c r="AJ85" s="25">
        <v>12</v>
      </c>
      <c r="AK85" s="25">
        <v>15</v>
      </c>
    </row>
    <row r="86" spans="1:37">
      <c r="A86" s="68">
        <v>2</v>
      </c>
      <c r="B86" s="75">
        <v>6</v>
      </c>
      <c r="C86" s="75">
        <v>17</v>
      </c>
      <c r="D86" s="75">
        <v>15</v>
      </c>
      <c r="E86" s="75">
        <v>12</v>
      </c>
      <c r="F86" s="75">
        <v>9</v>
      </c>
      <c r="G86" s="75">
        <v>2</v>
      </c>
      <c r="H86" s="75">
        <v>4</v>
      </c>
      <c r="I86" s="75">
        <v>8</v>
      </c>
      <c r="J86" s="75">
        <v>1</v>
      </c>
      <c r="K86" s="75">
        <v>7</v>
      </c>
      <c r="L86" s="75">
        <v>14</v>
      </c>
      <c r="M86" s="75">
        <v>5</v>
      </c>
      <c r="N86" s="75">
        <v>16</v>
      </c>
      <c r="O86" s="75">
        <v>3</v>
      </c>
      <c r="P86" s="75">
        <v>13</v>
      </c>
      <c r="Q86" s="75">
        <v>11</v>
      </c>
      <c r="R86" s="75">
        <v>10</v>
      </c>
      <c r="T86" s="68">
        <f>A86</f>
        <v>2</v>
      </c>
      <c r="U86" s="75">
        <v>6</v>
      </c>
      <c r="V86" s="75">
        <v>16</v>
      </c>
      <c r="W86" s="75">
        <v>14</v>
      </c>
      <c r="X86" s="75">
        <v>11</v>
      </c>
      <c r="Y86" s="75" t="s">
        <v>937</v>
      </c>
      <c r="Z86" s="75">
        <v>2</v>
      </c>
      <c r="AA86" s="75">
        <v>4</v>
      </c>
      <c r="AB86" s="75">
        <v>8</v>
      </c>
      <c r="AC86" s="75">
        <v>1</v>
      </c>
      <c r="AD86" s="75">
        <v>7</v>
      </c>
      <c r="AE86" s="75">
        <v>13</v>
      </c>
      <c r="AF86" s="75">
        <v>5</v>
      </c>
      <c r="AG86" s="75">
        <v>15</v>
      </c>
      <c r="AH86" s="75">
        <v>3</v>
      </c>
      <c r="AI86" s="75">
        <v>12</v>
      </c>
      <c r="AJ86" s="75">
        <v>10</v>
      </c>
      <c r="AK86" s="75">
        <v>9</v>
      </c>
    </row>
    <row r="87" spans="1:37">
      <c r="A87" s="68">
        <v>3</v>
      </c>
      <c r="B87" s="25">
        <v>8</v>
      </c>
      <c r="C87" s="25">
        <v>14</v>
      </c>
      <c r="D87" s="25">
        <v>13</v>
      </c>
      <c r="E87" s="25">
        <v>16</v>
      </c>
      <c r="F87" s="25">
        <v>17</v>
      </c>
      <c r="G87" s="25">
        <v>5</v>
      </c>
      <c r="H87" s="25">
        <v>4</v>
      </c>
      <c r="I87" s="25">
        <v>7</v>
      </c>
      <c r="J87" s="25">
        <v>1</v>
      </c>
      <c r="K87" s="25">
        <v>6</v>
      </c>
      <c r="L87" s="25">
        <v>9</v>
      </c>
      <c r="M87" s="25">
        <v>2</v>
      </c>
      <c r="N87" s="25">
        <v>15</v>
      </c>
      <c r="O87" s="25">
        <v>3</v>
      </c>
      <c r="P87" s="25">
        <v>10</v>
      </c>
      <c r="Q87" s="25">
        <v>11</v>
      </c>
      <c r="R87" s="25">
        <v>12</v>
      </c>
      <c r="T87" s="68">
        <f t="shared" si="42"/>
        <v>3</v>
      </c>
      <c r="U87" s="69">
        <v>8</v>
      </c>
      <c r="V87" s="69">
        <v>14</v>
      </c>
      <c r="W87" s="69">
        <v>13</v>
      </c>
      <c r="X87" s="69">
        <v>16</v>
      </c>
      <c r="Y87" s="69" t="s">
        <v>937</v>
      </c>
      <c r="Z87" s="69">
        <v>5</v>
      </c>
      <c r="AA87" s="69">
        <v>4</v>
      </c>
      <c r="AB87" s="69">
        <v>7</v>
      </c>
      <c r="AC87" s="69">
        <v>1</v>
      </c>
      <c r="AD87" s="69">
        <v>6</v>
      </c>
      <c r="AE87" s="69">
        <v>9</v>
      </c>
      <c r="AF87" s="69">
        <v>2</v>
      </c>
      <c r="AG87" s="69">
        <v>15</v>
      </c>
      <c r="AH87" s="69">
        <v>3</v>
      </c>
      <c r="AI87" s="69">
        <v>10</v>
      </c>
      <c r="AJ87" s="69">
        <v>11</v>
      </c>
      <c r="AK87" s="69">
        <v>12</v>
      </c>
    </row>
    <row r="88" spans="1:37">
      <c r="A88" s="68">
        <v>4</v>
      </c>
      <c r="B88" s="25">
        <v>8</v>
      </c>
      <c r="C88" s="25">
        <v>17</v>
      </c>
      <c r="D88" s="25">
        <v>10</v>
      </c>
      <c r="E88" s="25">
        <v>15</v>
      </c>
      <c r="F88" s="25">
        <v>14</v>
      </c>
      <c r="G88" s="25">
        <v>3</v>
      </c>
      <c r="H88" s="25">
        <v>7</v>
      </c>
      <c r="I88" s="25">
        <v>5</v>
      </c>
      <c r="J88" s="25">
        <v>1</v>
      </c>
      <c r="K88" s="25">
        <v>6</v>
      </c>
      <c r="L88" s="25">
        <v>16</v>
      </c>
      <c r="M88" s="25">
        <v>2</v>
      </c>
      <c r="N88" s="25">
        <v>13</v>
      </c>
      <c r="O88" s="25">
        <v>4</v>
      </c>
      <c r="P88" s="25">
        <v>9</v>
      </c>
      <c r="Q88" s="25">
        <v>11</v>
      </c>
      <c r="R88" s="25">
        <v>12</v>
      </c>
      <c r="T88" s="68">
        <f>A88</f>
        <v>4</v>
      </c>
      <c r="U88" s="69">
        <v>8</v>
      </c>
      <c r="V88" s="69">
        <v>16</v>
      </c>
      <c r="W88" s="69">
        <v>10</v>
      </c>
      <c r="X88" s="69">
        <v>14</v>
      </c>
      <c r="Y88" s="69" t="s">
        <v>937</v>
      </c>
      <c r="Z88" s="69">
        <v>3</v>
      </c>
      <c r="AA88" s="69">
        <v>7</v>
      </c>
      <c r="AB88" s="69">
        <v>5</v>
      </c>
      <c r="AC88" s="69">
        <v>1</v>
      </c>
      <c r="AD88" s="69">
        <v>6</v>
      </c>
      <c r="AE88" s="69">
        <v>15</v>
      </c>
      <c r="AF88" s="69">
        <v>2</v>
      </c>
      <c r="AG88" s="69">
        <v>13</v>
      </c>
      <c r="AH88" s="69">
        <v>4</v>
      </c>
      <c r="AI88" s="69">
        <v>9</v>
      </c>
      <c r="AJ88" s="69">
        <v>11</v>
      </c>
      <c r="AK88" s="69">
        <v>12</v>
      </c>
    </row>
    <row r="89" spans="1:37">
      <c r="A89" s="68">
        <v>5</v>
      </c>
      <c r="B89" s="25">
        <f>B$42</f>
        <v>9</v>
      </c>
      <c r="C89" s="25">
        <f t="shared" ref="C89:R89" si="43">C$42</f>
        <v>14</v>
      </c>
      <c r="D89" s="25">
        <f t="shared" si="43"/>
        <v>10</v>
      </c>
      <c r="E89" s="25">
        <f t="shared" si="43"/>
        <v>17</v>
      </c>
      <c r="F89" s="25">
        <f t="shared" si="43"/>
        <v>15</v>
      </c>
      <c r="G89" s="25">
        <f t="shared" si="43"/>
        <v>3</v>
      </c>
      <c r="H89" s="25">
        <f t="shared" si="43"/>
        <v>8</v>
      </c>
      <c r="I89" s="25">
        <f t="shared" si="43"/>
        <v>5</v>
      </c>
      <c r="J89" s="25">
        <f t="shared" si="43"/>
        <v>1</v>
      </c>
      <c r="K89" s="25">
        <f t="shared" si="43"/>
        <v>7</v>
      </c>
      <c r="L89" s="25">
        <f t="shared" si="43"/>
        <v>11</v>
      </c>
      <c r="M89" s="25">
        <f t="shared" si="43"/>
        <v>4</v>
      </c>
      <c r="N89" s="25">
        <f t="shared" si="43"/>
        <v>16</v>
      </c>
      <c r="O89" s="25">
        <f t="shared" si="43"/>
        <v>2</v>
      </c>
      <c r="P89" s="25">
        <f t="shared" si="43"/>
        <v>13</v>
      </c>
      <c r="Q89" s="25">
        <f t="shared" si="43"/>
        <v>6</v>
      </c>
      <c r="R89" s="25">
        <f t="shared" si="43"/>
        <v>12</v>
      </c>
      <c r="T89" s="68">
        <f>A89</f>
        <v>5</v>
      </c>
      <c r="U89" s="69">
        <f t="shared" ref="U89:AK89" si="44">U$42</f>
        <v>9</v>
      </c>
      <c r="V89" s="69">
        <f t="shared" si="44"/>
        <v>14</v>
      </c>
      <c r="W89" s="69">
        <f t="shared" si="44"/>
        <v>10</v>
      </c>
      <c r="X89" s="69">
        <f t="shared" si="44"/>
        <v>16</v>
      </c>
      <c r="Y89" s="69" t="str">
        <f t="shared" si="44"/>
        <v xml:space="preserve">- </v>
      </c>
      <c r="Z89" s="69">
        <f t="shared" si="44"/>
        <v>3</v>
      </c>
      <c r="AA89" s="69">
        <f t="shared" si="44"/>
        <v>8</v>
      </c>
      <c r="AB89" s="69">
        <f t="shared" si="44"/>
        <v>5</v>
      </c>
      <c r="AC89" s="69">
        <f t="shared" si="44"/>
        <v>1</v>
      </c>
      <c r="AD89" s="69">
        <f t="shared" si="44"/>
        <v>7</v>
      </c>
      <c r="AE89" s="69">
        <f t="shared" si="44"/>
        <v>11</v>
      </c>
      <c r="AF89" s="69">
        <f t="shared" si="44"/>
        <v>4</v>
      </c>
      <c r="AG89" s="69">
        <f t="shared" si="44"/>
        <v>15</v>
      </c>
      <c r="AH89" s="69">
        <f t="shared" si="44"/>
        <v>2</v>
      </c>
      <c r="AI89" s="69">
        <f t="shared" si="44"/>
        <v>13</v>
      </c>
      <c r="AJ89" s="69">
        <f t="shared" si="44"/>
        <v>6</v>
      </c>
      <c r="AK89" s="69">
        <f t="shared" si="44"/>
        <v>12</v>
      </c>
    </row>
    <row r="90" spans="1:37">
      <c r="A90" s="68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T90" s="68">
        <f t="shared" si="42"/>
        <v>6</v>
      </c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</row>
    <row r="91" spans="1:37" ht="3" customHeight="1">
      <c r="A91" s="68"/>
      <c r="T91" s="68"/>
    </row>
    <row r="92" spans="1:37">
      <c r="A92" s="1" t="s">
        <v>938</v>
      </c>
      <c r="B92" s="94">
        <f t="shared" ref="B92:R92" si="45">SUM(B85:B91)</f>
        <v>39</v>
      </c>
      <c r="C92" s="94">
        <f t="shared" si="45"/>
        <v>76</v>
      </c>
      <c r="D92" s="94">
        <f>SUM(D85:D91)</f>
        <v>59</v>
      </c>
      <c r="E92" s="94">
        <f t="shared" si="45"/>
        <v>75</v>
      </c>
      <c r="F92" s="94">
        <f t="shared" si="45"/>
        <v>68</v>
      </c>
      <c r="G92" s="94">
        <f t="shared" si="45"/>
        <v>16</v>
      </c>
      <c r="H92" s="94">
        <f t="shared" si="45"/>
        <v>28</v>
      </c>
      <c r="I92" s="94">
        <f t="shared" si="45"/>
        <v>32</v>
      </c>
      <c r="J92" s="94">
        <f t="shared" si="45"/>
        <v>5</v>
      </c>
      <c r="K92" s="94">
        <f t="shared" si="45"/>
        <v>32</v>
      </c>
      <c r="L92" s="94">
        <f t="shared" si="45"/>
        <v>59</v>
      </c>
      <c r="M92" s="94">
        <f t="shared" si="45"/>
        <v>15</v>
      </c>
      <c r="N92" s="94">
        <f t="shared" si="45"/>
        <v>70</v>
      </c>
      <c r="O92" s="94">
        <f t="shared" si="45"/>
        <v>16</v>
      </c>
      <c r="P92" s="94">
        <f t="shared" si="45"/>
        <v>62</v>
      </c>
      <c r="Q92" s="94">
        <f t="shared" si="45"/>
        <v>51</v>
      </c>
      <c r="R92" s="94">
        <f t="shared" si="45"/>
        <v>62</v>
      </c>
      <c r="T92" s="1" t="s">
        <v>938</v>
      </c>
      <c r="U92" s="94">
        <f t="shared" ref="U92:AK92" si="46">SUM(U85:U91)</f>
        <v>39</v>
      </c>
      <c r="V92" s="94">
        <f t="shared" si="46"/>
        <v>73</v>
      </c>
      <c r="W92" s="94">
        <f>SUM(W85:W91)</f>
        <v>58</v>
      </c>
      <c r="X92" s="94">
        <f t="shared" si="46"/>
        <v>71</v>
      </c>
      <c r="Y92" s="94">
        <f t="shared" si="46"/>
        <v>0</v>
      </c>
      <c r="Z92" s="94">
        <f t="shared" si="46"/>
        <v>16</v>
      </c>
      <c r="AA92" s="94">
        <f t="shared" si="46"/>
        <v>28</v>
      </c>
      <c r="AB92" s="94">
        <f t="shared" si="46"/>
        <v>32</v>
      </c>
      <c r="AC92" s="94">
        <f t="shared" si="46"/>
        <v>5</v>
      </c>
      <c r="AD92" s="94">
        <f t="shared" si="46"/>
        <v>32</v>
      </c>
      <c r="AE92" s="94">
        <f t="shared" si="46"/>
        <v>57</v>
      </c>
      <c r="AF92" s="94">
        <f t="shared" si="46"/>
        <v>15</v>
      </c>
      <c r="AG92" s="94">
        <f t="shared" si="46"/>
        <v>68</v>
      </c>
      <c r="AH92" s="94">
        <f t="shared" si="46"/>
        <v>16</v>
      </c>
      <c r="AI92" s="94">
        <f t="shared" si="46"/>
        <v>60</v>
      </c>
      <c r="AJ92" s="94">
        <f t="shared" si="46"/>
        <v>50</v>
      </c>
      <c r="AK92" s="94">
        <f t="shared" si="46"/>
        <v>60</v>
      </c>
    </row>
    <row r="93" spans="1:37" ht="13.5" thickBot="1">
      <c r="A93" s="1" t="s">
        <v>939</v>
      </c>
      <c r="B93" s="25">
        <f t="shared" ref="B93:R93" ca="1" si="47">B56</f>
        <v>39</v>
      </c>
      <c r="C93" s="25">
        <f t="shared" ca="1" si="47"/>
        <v>76</v>
      </c>
      <c r="D93" s="25">
        <f t="shared" ca="1" si="47"/>
        <v>59</v>
      </c>
      <c r="E93" s="25">
        <f t="shared" ca="1" si="47"/>
        <v>75</v>
      </c>
      <c r="F93" s="25">
        <f t="shared" ca="1" si="47"/>
        <v>68</v>
      </c>
      <c r="G93" s="25">
        <f t="shared" ca="1" si="47"/>
        <v>16</v>
      </c>
      <c r="H93" s="25">
        <f t="shared" ca="1" si="47"/>
        <v>28</v>
      </c>
      <c r="I93" s="25">
        <f t="shared" ca="1" si="47"/>
        <v>32</v>
      </c>
      <c r="J93" s="25">
        <f t="shared" ca="1" si="47"/>
        <v>5</v>
      </c>
      <c r="K93" s="25">
        <f t="shared" ca="1" si="47"/>
        <v>32</v>
      </c>
      <c r="L93" s="25">
        <f t="shared" ca="1" si="47"/>
        <v>59</v>
      </c>
      <c r="M93" s="25">
        <f t="shared" ca="1" si="47"/>
        <v>15</v>
      </c>
      <c r="N93" s="25">
        <f t="shared" ca="1" si="47"/>
        <v>70</v>
      </c>
      <c r="O93" s="25">
        <f t="shared" ca="1" si="47"/>
        <v>16</v>
      </c>
      <c r="P93" s="25">
        <f t="shared" ca="1" si="47"/>
        <v>62</v>
      </c>
      <c r="Q93" s="25">
        <f t="shared" ca="1" si="47"/>
        <v>51</v>
      </c>
      <c r="R93" s="25">
        <f t="shared" ca="1" si="47"/>
        <v>62</v>
      </c>
      <c r="T93" s="1" t="s">
        <v>939</v>
      </c>
      <c r="U93" s="69">
        <f t="shared" ref="U93:AK93" ca="1" si="48">U56</f>
        <v>39</v>
      </c>
      <c r="V93" s="69">
        <f t="shared" ca="1" si="48"/>
        <v>73</v>
      </c>
      <c r="W93" s="69">
        <f t="shared" ca="1" si="48"/>
        <v>58</v>
      </c>
      <c r="X93" s="69">
        <f t="shared" ca="1" si="48"/>
        <v>71</v>
      </c>
      <c r="Y93" s="69" t="str">
        <f t="shared" si="48"/>
        <v xml:space="preserve">- </v>
      </c>
      <c r="Z93" s="69">
        <f t="shared" ca="1" si="48"/>
        <v>16</v>
      </c>
      <c r="AA93" s="69">
        <f t="shared" ca="1" si="48"/>
        <v>28</v>
      </c>
      <c r="AB93" s="69">
        <f t="shared" ca="1" si="48"/>
        <v>32</v>
      </c>
      <c r="AC93" s="69">
        <f t="shared" ca="1" si="48"/>
        <v>5</v>
      </c>
      <c r="AD93" s="69">
        <f t="shared" ca="1" si="48"/>
        <v>32</v>
      </c>
      <c r="AE93" s="69">
        <f t="shared" ca="1" si="48"/>
        <v>57</v>
      </c>
      <c r="AF93" s="69">
        <f t="shared" ca="1" si="48"/>
        <v>15</v>
      </c>
      <c r="AG93" s="69">
        <f t="shared" ca="1" si="48"/>
        <v>68</v>
      </c>
      <c r="AH93" s="69">
        <f t="shared" ca="1" si="48"/>
        <v>16</v>
      </c>
      <c r="AI93" s="69">
        <f t="shared" ca="1" si="48"/>
        <v>60</v>
      </c>
      <c r="AJ93" s="69">
        <f t="shared" ca="1" si="48"/>
        <v>50</v>
      </c>
      <c r="AK93" s="69">
        <f t="shared" ca="1" si="48"/>
        <v>60</v>
      </c>
    </row>
    <row r="94" spans="1:37">
      <c r="A94" s="95" t="s">
        <v>5</v>
      </c>
      <c r="B94" s="25">
        <f ca="1">B92-B93</f>
        <v>0</v>
      </c>
      <c r="C94" s="25">
        <f t="shared" ref="C94:R94" ca="1" si="49">C92-C93</f>
        <v>0</v>
      </c>
      <c r="D94" s="25">
        <f ca="1">D92-D93</f>
        <v>0</v>
      </c>
      <c r="E94" s="25">
        <f t="shared" ca="1" si="49"/>
        <v>0</v>
      </c>
      <c r="F94" s="25">
        <f t="shared" ca="1" si="49"/>
        <v>0</v>
      </c>
      <c r="G94" s="25">
        <f t="shared" ca="1" si="49"/>
        <v>0</v>
      </c>
      <c r="H94" s="25">
        <f t="shared" ca="1" si="49"/>
        <v>0</v>
      </c>
      <c r="I94" s="25">
        <f t="shared" ca="1" si="49"/>
        <v>0</v>
      </c>
      <c r="J94" s="25">
        <f t="shared" ca="1" si="49"/>
        <v>0</v>
      </c>
      <c r="K94" s="25">
        <f t="shared" ca="1" si="49"/>
        <v>0</v>
      </c>
      <c r="L94" s="25">
        <f t="shared" ca="1" si="49"/>
        <v>0</v>
      </c>
      <c r="M94" s="25">
        <f t="shared" ca="1" si="49"/>
        <v>0</v>
      </c>
      <c r="N94" s="25">
        <f t="shared" ca="1" si="49"/>
        <v>0</v>
      </c>
      <c r="O94" s="25">
        <f t="shared" ca="1" si="49"/>
        <v>0</v>
      </c>
      <c r="P94" s="25">
        <f t="shared" ca="1" si="49"/>
        <v>0</v>
      </c>
      <c r="Q94" s="25">
        <f t="shared" ca="1" si="49"/>
        <v>0</v>
      </c>
      <c r="R94" s="25">
        <f t="shared" ca="1" si="49"/>
        <v>0</v>
      </c>
      <c r="T94" s="1" t="s">
        <v>5</v>
      </c>
      <c r="U94" s="25">
        <f ca="1">IF(U$4="N",0,U92-U93)</f>
        <v>0</v>
      </c>
      <c r="V94" s="25">
        <f t="shared" ref="V94:AK94" ca="1" si="50">IF(V$4="N",0,V92-V93)</f>
        <v>0</v>
      </c>
      <c r="W94" s="25">
        <f ca="1">IF(W$4="N",0,W92-W93)</f>
        <v>0</v>
      </c>
      <c r="X94" s="25">
        <f t="shared" ca="1" si="50"/>
        <v>0</v>
      </c>
      <c r="Y94" s="25">
        <f t="shared" si="50"/>
        <v>0</v>
      </c>
      <c r="Z94" s="25">
        <f t="shared" ca="1" si="50"/>
        <v>0</v>
      </c>
      <c r="AA94" s="25">
        <f t="shared" ca="1" si="50"/>
        <v>0</v>
      </c>
      <c r="AB94" s="25">
        <f t="shared" ca="1" si="50"/>
        <v>0</v>
      </c>
      <c r="AC94" s="25">
        <f t="shared" ca="1" si="50"/>
        <v>0</v>
      </c>
      <c r="AD94" s="25">
        <f t="shared" ca="1" si="50"/>
        <v>0</v>
      </c>
      <c r="AE94" s="25">
        <f t="shared" ca="1" si="50"/>
        <v>0</v>
      </c>
      <c r="AF94" s="25">
        <f t="shared" ca="1" si="50"/>
        <v>0</v>
      </c>
      <c r="AG94" s="25">
        <f t="shared" ca="1" si="50"/>
        <v>0</v>
      </c>
      <c r="AH94" s="25">
        <f t="shared" ca="1" si="50"/>
        <v>0</v>
      </c>
      <c r="AI94" s="25">
        <f t="shared" ca="1" si="50"/>
        <v>0</v>
      </c>
      <c r="AJ94" s="25">
        <f t="shared" ca="1" si="50"/>
        <v>0</v>
      </c>
      <c r="AK94" s="25">
        <f t="shared" ca="1" si="50"/>
        <v>0</v>
      </c>
    </row>
    <row r="95" spans="1:37" ht="13.5" thickBot="1">
      <c r="A95" s="96">
        <f ca="1">SUM(A94:AL94)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37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37">
      <c r="A97" s="1" t="s">
        <v>940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T97" s="1" t="s">
        <v>940</v>
      </c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</row>
    <row r="98" spans="1:37">
      <c r="A98" s="1">
        <v>1</v>
      </c>
      <c r="B98" s="25">
        <f>IFERROR(SMALL(B$85:B$91,$A98),0)</f>
        <v>6</v>
      </c>
      <c r="C98" s="25">
        <f t="shared" ref="C98:R103" si="51">IFERROR(SMALL(C$85:C$91,$A98),0)</f>
        <v>14</v>
      </c>
      <c r="D98" s="25">
        <f t="shared" si="51"/>
        <v>10</v>
      </c>
      <c r="E98" s="25">
        <f t="shared" si="51"/>
        <v>12</v>
      </c>
      <c r="F98" s="25">
        <f t="shared" si="51"/>
        <v>9</v>
      </c>
      <c r="G98" s="25">
        <f t="shared" si="51"/>
        <v>2</v>
      </c>
      <c r="H98" s="25">
        <f t="shared" si="51"/>
        <v>4</v>
      </c>
      <c r="I98" s="25">
        <f t="shared" si="51"/>
        <v>5</v>
      </c>
      <c r="J98" s="25">
        <f t="shared" si="51"/>
        <v>1</v>
      </c>
      <c r="K98" s="25">
        <f t="shared" si="51"/>
        <v>6</v>
      </c>
      <c r="L98" s="25">
        <f t="shared" si="51"/>
        <v>9</v>
      </c>
      <c r="M98" s="25">
        <f t="shared" si="51"/>
        <v>2</v>
      </c>
      <c r="N98" s="25">
        <f t="shared" si="51"/>
        <v>10</v>
      </c>
      <c r="O98" s="25">
        <f t="shared" si="51"/>
        <v>2</v>
      </c>
      <c r="P98" s="25">
        <f t="shared" si="51"/>
        <v>9</v>
      </c>
      <c r="Q98" s="25">
        <f t="shared" si="51"/>
        <v>6</v>
      </c>
      <c r="R98" s="25">
        <f t="shared" si="51"/>
        <v>10</v>
      </c>
      <c r="T98" s="1">
        <v>1</v>
      </c>
      <c r="U98" s="25">
        <f>IFERROR(SMALL(U$85:U$91,$A98),0)</f>
        <v>6</v>
      </c>
      <c r="V98" s="25">
        <f t="shared" ref="V98:AK103" si="52">IFERROR(SMALL(V$85:V$91,$A98),0)</f>
        <v>13</v>
      </c>
      <c r="W98" s="25">
        <f t="shared" si="52"/>
        <v>10</v>
      </c>
      <c r="X98" s="25">
        <f t="shared" si="52"/>
        <v>11</v>
      </c>
      <c r="Y98" s="25">
        <f t="shared" si="52"/>
        <v>0</v>
      </c>
      <c r="Z98" s="25">
        <f t="shared" si="52"/>
        <v>2</v>
      </c>
      <c r="AA98" s="25">
        <f t="shared" si="52"/>
        <v>4</v>
      </c>
      <c r="AB98" s="25">
        <f t="shared" si="52"/>
        <v>5</v>
      </c>
      <c r="AC98" s="25">
        <f t="shared" si="52"/>
        <v>1</v>
      </c>
      <c r="AD98" s="25">
        <f t="shared" si="52"/>
        <v>6</v>
      </c>
      <c r="AE98" s="25">
        <f t="shared" si="52"/>
        <v>9</v>
      </c>
      <c r="AF98" s="25">
        <f t="shared" si="52"/>
        <v>2</v>
      </c>
      <c r="AG98" s="25">
        <f t="shared" si="52"/>
        <v>10</v>
      </c>
      <c r="AH98" s="25">
        <f t="shared" si="52"/>
        <v>2</v>
      </c>
      <c r="AI98" s="25">
        <f t="shared" si="52"/>
        <v>9</v>
      </c>
      <c r="AJ98" s="25">
        <f t="shared" si="52"/>
        <v>6</v>
      </c>
      <c r="AK98" s="25">
        <f t="shared" si="52"/>
        <v>9</v>
      </c>
    </row>
    <row r="99" spans="1:37">
      <c r="A99" s="1">
        <v>2</v>
      </c>
      <c r="B99" s="25">
        <f t="shared" ref="B99:B103" si="53">IFERROR(SMALL(B$85:B$91,$A99),0)</f>
        <v>8</v>
      </c>
      <c r="C99" s="25">
        <f t="shared" si="51"/>
        <v>14</v>
      </c>
      <c r="D99" s="25">
        <f t="shared" si="51"/>
        <v>10</v>
      </c>
      <c r="E99" s="25">
        <f t="shared" si="51"/>
        <v>15</v>
      </c>
      <c r="F99" s="25">
        <f t="shared" si="51"/>
        <v>13</v>
      </c>
      <c r="G99" s="25">
        <f t="shared" si="51"/>
        <v>3</v>
      </c>
      <c r="H99" s="25">
        <f t="shared" si="51"/>
        <v>4</v>
      </c>
      <c r="I99" s="25">
        <f t="shared" si="51"/>
        <v>5</v>
      </c>
      <c r="J99" s="25">
        <f t="shared" si="51"/>
        <v>1</v>
      </c>
      <c r="K99" s="25">
        <f t="shared" si="51"/>
        <v>6</v>
      </c>
      <c r="L99" s="25">
        <f t="shared" si="51"/>
        <v>9</v>
      </c>
      <c r="M99" s="25">
        <f t="shared" si="51"/>
        <v>2</v>
      </c>
      <c r="N99" s="25">
        <f t="shared" si="51"/>
        <v>13</v>
      </c>
      <c r="O99" s="25">
        <f t="shared" si="51"/>
        <v>3</v>
      </c>
      <c r="P99" s="25">
        <f t="shared" si="51"/>
        <v>10</v>
      </c>
      <c r="Q99" s="25">
        <f t="shared" si="51"/>
        <v>11</v>
      </c>
      <c r="R99" s="25">
        <f t="shared" si="51"/>
        <v>12</v>
      </c>
      <c r="T99" s="1">
        <v>2</v>
      </c>
      <c r="U99" s="25">
        <f t="shared" ref="U99:U103" si="54">IFERROR(SMALL(U$85:U$91,$A99),0)</f>
        <v>8</v>
      </c>
      <c r="V99" s="25">
        <f t="shared" si="52"/>
        <v>14</v>
      </c>
      <c r="W99" s="25">
        <f t="shared" si="52"/>
        <v>10</v>
      </c>
      <c r="X99" s="25">
        <f t="shared" si="52"/>
        <v>14</v>
      </c>
      <c r="Y99" s="25">
        <f t="shared" si="52"/>
        <v>0</v>
      </c>
      <c r="Z99" s="25">
        <f t="shared" si="52"/>
        <v>3</v>
      </c>
      <c r="AA99" s="25">
        <f t="shared" si="52"/>
        <v>4</v>
      </c>
      <c r="AB99" s="25">
        <f t="shared" si="52"/>
        <v>5</v>
      </c>
      <c r="AC99" s="25">
        <f t="shared" si="52"/>
        <v>1</v>
      </c>
      <c r="AD99" s="25">
        <f t="shared" si="52"/>
        <v>6</v>
      </c>
      <c r="AE99" s="25">
        <f t="shared" si="52"/>
        <v>9</v>
      </c>
      <c r="AF99" s="25">
        <f t="shared" si="52"/>
        <v>2</v>
      </c>
      <c r="AG99" s="25">
        <f t="shared" si="52"/>
        <v>13</v>
      </c>
      <c r="AH99" s="25">
        <f t="shared" si="52"/>
        <v>3</v>
      </c>
      <c r="AI99" s="25">
        <f t="shared" si="52"/>
        <v>10</v>
      </c>
      <c r="AJ99" s="25">
        <f t="shared" si="52"/>
        <v>10</v>
      </c>
      <c r="AK99" s="25">
        <f t="shared" si="52"/>
        <v>12</v>
      </c>
    </row>
    <row r="100" spans="1:37">
      <c r="A100" s="1">
        <v>3</v>
      </c>
      <c r="B100" s="25">
        <f t="shared" si="53"/>
        <v>8</v>
      </c>
      <c r="C100" s="25">
        <f t="shared" si="51"/>
        <v>14</v>
      </c>
      <c r="D100" s="25">
        <f t="shared" si="51"/>
        <v>11</v>
      </c>
      <c r="E100" s="25">
        <f t="shared" si="51"/>
        <v>15</v>
      </c>
      <c r="F100" s="25">
        <f t="shared" si="51"/>
        <v>14</v>
      </c>
      <c r="G100" s="25">
        <f t="shared" si="51"/>
        <v>3</v>
      </c>
      <c r="H100" s="25">
        <f t="shared" si="51"/>
        <v>5</v>
      </c>
      <c r="I100" s="25">
        <f t="shared" si="51"/>
        <v>7</v>
      </c>
      <c r="J100" s="25">
        <f t="shared" si="51"/>
        <v>1</v>
      </c>
      <c r="K100" s="25">
        <f t="shared" si="51"/>
        <v>6</v>
      </c>
      <c r="L100" s="25">
        <f t="shared" si="51"/>
        <v>11</v>
      </c>
      <c r="M100" s="25">
        <f t="shared" si="51"/>
        <v>2</v>
      </c>
      <c r="N100" s="25">
        <f t="shared" si="51"/>
        <v>15</v>
      </c>
      <c r="O100" s="25">
        <f t="shared" si="51"/>
        <v>3</v>
      </c>
      <c r="P100" s="25">
        <f t="shared" si="51"/>
        <v>13</v>
      </c>
      <c r="Q100" s="25">
        <f t="shared" si="51"/>
        <v>11</v>
      </c>
      <c r="R100" s="25">
        <f t="shared" si="51"/>
        <v>12</v>
      </c>
      <c r="T100" s="1">
        <v>3</v>
      </c>
      <c r="U100" s="25">
        <f t="shared" si="54"/>
        <v>8</v>
      </c>
      <c r="V100" s="25">
        <f t="shared" si="52"/>
        <v>14</v>
      </c>
      <c r="W100" s="25">
        <f t="shared" si="52"/>
        <v>11</v>
      </c>
      <c r="X100" s="25">
        <f t="shared" si="52"/>
        <v>14</v>
      </c>
      <c r="Y100" s="25">
        <f t="shared" si="52"/>
        <v>0</v>
      </c>
      <c r="Z100" s="25">
        <f t="shared" si="52"/>
        <v>3</v>
      </c>
      <c r="AA100" s="25">
        <f t="shared" si="52"/>
        <v>5</v>
      </c>
      <c r="AB100" s="25">
        <f t="shared" si="52"/>
        <v>7</v>
      </c>
      <c r="AC100" s="25">
        <f t="shared" si="52"/>
        <v>1</v>
      </c>
      <c r="AD100" s="25">
        <f t="shared" si="52"/>
        <v>6</v>
      </c>
      <c r="AE100" s="25">
        <f t="shared" si="52"/>
        <v>11</v>
      </c>
      <c r="AF100" s="25">
        <f t="shared" si="52"/>
        <v>2</v>
      </c>
      <c r="AG100" s="25">
        <f t="shared" si="52"/>
        <v>15</v>
      </c>
      <c r="AH100" s="25">
        <f t="shared" si="52"/>
        <v>3</v>
      </c>
      <c r="AI100" s="25">
        <f t="shared" si="52"/>
        <v>12</v>
      </c>
      <c r="AJ100" s="25">
        <f t="shared" si="52"/>
        <v>11</v>
      </c>
      <c r="AK100" s="25">
        <f t="shared" si="52"/>
        <v>12</v>
      </c>
    </row>
    <row r="101" spans="1:37">
      <c r="A101" s="1">
        <v>4</v>
      </c>
      <c r="B101" s="25">
        <f t="shared" si="53"/>
        <v>8</v>
      </c>
      <c r="C101" s="25">
        <f t="shared" si="51"/>
        <v>17</v>
      </c>
      <c r="D101" s="25">
        <f t="shared" si="51"/>
        <v>13</v>
      </c>
      <c r="E101" s="25">
        <f t="shared" si="51"/>
        <v>16</v>
      </c>
      <c r="F101" s="25">
        <f t="shared" si="51"/>
        <v>15</v>
      </c>
      <c r="G101" s="25">
        <f t="shared" si="51"/>
        <v>3</v>
      </c>
      <c r="H101" s="25">
        <f t="shared" si="51"/>
        <v>7</v>
      </c>
      <c r="I101" s="25">
        <f t="shared" si="51"/>
        <v>7</v>
      </c>
      <c r="J101" s="25">
        <f t="shared" si="51"/>
        <v>1</v>
      </c>
      <c r="K101" s="25">
        <f t="shared" si="51"/>
        <v>7</v>
      </c>
      <c r="L101" s="25">
        <f t="shared" si="51"/>
        <v>14</v>
      </c>
      <c r="M101" s="25">
        <f t="shared" si="51"/>
        <v>4</v>
      </c>
      <c r="N101" s="25">
        <f t="shared" si="51"/>
        <v>16</v>
      </c>
      <c r="O101" s="25">
        <f t="shared" si="51"/>
        <v>4</v>
      </c>
      <c r="P101" s="25">
        <f t="shared" si="51"/>
        <v>13</v>
      </c>
      <c r="Q101" s="25">
        <f t="shared" si="51"/>
        <v>11</v>
      </c>
      <c r="R101" s="25">
        <f t="shared" si="51"/>
        <v>12</v>
      </c>
      <c r="T101" s="1">
        <v>4</v>
      </c>
      <c r="U101" s="25">
        <f t="shared" si="54"/>
        <v>8</v>
      </c>
      <c r="V101" s="25">
        <f t="shared" si="52"/>
        <v>16</v>
      </c>
      <c r="W101" s="25">
        <f t="shared" si="52"/>
        <v>13</v>
      </c>
      <c r="X101" s="25">
        <f t="shared" si="52"/>
        <v>16</v>
      </c>
      <c r="Y101" s="25">
        <f t="shared" si="52"/>
        <v>0</v>
      </c>
      <c r="Z101" s="25">
        <f t="shared" si="52"/>
        <v>3</v>
      </c>
      <c r="AA101" s="25">
        <f t="shared" si="52"/>
        <v>7</v>
      </c>
      <c r="AB101" s="25">
        <f t="shared" si="52"/>
        <v>7</v>
      </c>
      <c r="AC101" s="25">
        <f t="shared" si="52"/>
        <v>1</v>
      </c>
      <c r="AD101" s="25">
        <f t="shared" si="52"/>
        <v>7</v>
      </c>
      <c r="AE101" s="25">
        <f t="shared" si="52"/>
        <v>13</v>
      </c>
      <c r="AF101" s="25">
        <f t="shared" si="52"/>
        <v>4</v>
      </c>
      <c r="AG101" s="25">
        <f t="shared" si="52"/>
        <v>15</v>
      </c>
      <c r="AH101" s="25">
        <f t="shared" si="52"/>
        <v>4</v>
      </c>
      <c r="AI101" s="25">
        <f t="shared" si="52"/>
        <v>13</v>
      </c>
      <c r="AJ101" s="25">
        <f t="shared" si="52"/>
        <v>11</v>
      </c>
      <c r="AK101" s="25">
        <f t="shared" si="52"/>
        <v>12</v>
      </c>
    </row>
    <row r="102" spans="1:37">
      <c r="A102" s="1">
        <v>5</v>
      </c>
      <c r="B102" s="25">
        <f t="shared" si="53"/>
        <v>9</v>
      </c>
      <c r="C102" s="25">
        <f t="shared" si="51"/>
        <v>17</v>
      </c>
      <c r="D102" s="25">
        <f t="shared" si="51"/>
        <v>15</v>
      </c>
      <c r="E102" s="25">
        <f t="shared" si="51"/>
        <v>17</v>
      </c>
      <c r="F102" s="25">
        <f t="shared" si="51"/>
        <v>17</v>
      </c>
      <c r="G102" s="25">
        <f t="shared" si="51"/>
        <v>5</v>
      </c>
      <c r="H102" s="25">
        <f t="shared" si="51"/>
        <v>8</v>
      </c>
      <c r="I102" s="25">
        <f t="shared" si="51"/>
        <v>8</v>
      </c>
      <c r="J102" s="25">
        <f t="shared" si="51"/>
        <v>1</v>
      </c>
      <c r="K102" s="25">
        <f t="shared" si="51"/>
        <v>7</v>
      </c>
      <c r="L102" s="25">
        <f t="shared" si="51"/>
        <v>16</v>
      </c>
      <c r="M102" s="25">
        <f t="shared" si="51"/>
        <v>5</v>
      </c>
      <c r="N102" s="25">
        <f t="shared" si="51"/>
        <v>16</v>
      </c>
      <c r="O102" s="25">
        <f t="shared" si="51"/>
        <v>4</v>
      </c>
      <c r="P102" s="25">
        <f t="shared" si="51"/>
        <v>17</v>
      </c>
      <c r="Q102" s="25">
        <f t="shared" si="51"/>
        <v>12</v>
      </c>
      <c r="R102" s="25">
        <f t="shared" si="51"/>
        <v>16</v>
      </c>
      <c r="T102" s="1">
        <v>5</v>
      </c>
      <c r="U102" s="25">
        <f t="shared" si="54"/>
        <v>9</v>
      </c>
      <c r="V102" s="25">
        <f t="shared" si="52"/>
        <v>16</v>
      </c>
      <c r="W102" s="25">
        <f t="shared" si="52"/>
        <v>14</v>
      </c>
      <c r="X102" s="25">
        <f t="shared" si="52"/>
        <v>16</v>
      </c>
      <c r="Y102" s="25">
        <f t="shared" si="52"/>
        <v>0</v>
      </c>
      <c r="Z102" s="25">
        <f t="shared" si="52"/>
        <v>5</v>
      </c>
      <c r="AA102" s="25">
        <f t="shared" si="52"/>
        <v>8</v>
      </c>
      <c r="AB102" s="25">
        <f t="shared" si="52"/>
        <v>8</v>
      </c>
      <c r="AC102" s="25">
        <f t="shared" si="52"/>
        <v>1</v>
      </c>
      <c r="AD102" s="25">
        <f t="shared" si="52"/>
        <v>7</v>
      </c>
      <c r="AE102" s="25">
        <f t="shared" si="52"/>
        <v>15</v>
      </c>
      <c r="AF102" s="25">
        <f t="shared" si="52"/>
        <v>5</v>
      </c>
      <c r="AG102" s="25">
        <f t="shared" si="52"/>
        <v>15</v>
      </c>
      <c r="AH102" s="25">
        <f t="shared" si="52"/>
        <v>4</v>
      </c>
      <c r="AI102" s="25">
        <f t="shared" si="52"/>
        <v>16</v>
      </c>
      <c r="AJ102" s="25">
        <f t="shared" si="52"/>
        <v>12</v>
      </c>
      <c r="AK102" s="25">
        <f t="shared" si="52"/>
        <v>15</v>
      </c>
    </row>
    <row r="103" spans="1:37">
      <c r="A103" s="1">
        <v>6</v>
      </c>
      <c r="B103" s="25">
        <f t="shared" si="53"/>
        <v>0</v>
      </c>
      <c r="C103" s="25">
        <f t="shared" si="51"/>
        <v>0</v>
      </c>
      <c r="D103" s="25">
        <f t="shared" si="51"/>
        <v>0</v>
      </c>
      <c r="E103" s="25">
        <f t="shared" si="51"/>
        <v>0</v>
      </c>
      <c r="F103" s="25">
        <f t="shared" si="51"/>
        <v>0</v>
      </c>
      <c r="G103" s="25">
        <f t="shared" si="51"/>
        <v>0</v>
      </c>
      <c r="H103" s="25">
        <f t="shared" si="51"/>
        <v>0</v>
      </c>
      <c r="I103" s="25">
        <f t="shared" si="51"/>
        <v>0</v>
      </c>
      <c r="J103" s="25">
        <f t="shared" si="51"/>
        <v>0</v>
      </c>
      <c r="K103" s="25">
        <f t="shared" si="51"/>
        <v>0</v>
      </c>
      <c r="L103" s="25">
        <f t="shared" si="51"/>
        <v>0</v>
      </c>
      <c r="M103" s="25">
        <f t="shared" si="51"/>
        <v>0</v>
      </c>
      <c r="N103" s="25">
        <f t="shared" si="51"/>
        <v>0</v>
      </c>
      <c r="O103" s="25">
        <f t="shared" si="51"/>
        <v>0</v>
      </c>
      <c r="P103" s="25">
        <f t="shared" si="51"/>
        <v>0</v>
      </c>
      <c r="Q103" s="25">
        <f t="shared" si="51"/>
        <v>0</v>
      </c>
      <c r="R103" s="25">
        <f t="shared" si="51"/>
        <v>0</v>
      </c>
      <c r="T103" s="1">
        <v>6</v>
      </c>
      <c r="U103" s="25">
        <f t="shared" si="54"/>
        <v>0</v>
      </c>
      <c r="V103" s="25">
        <f t="shared" si="52"/>
        <v>0</v>
      </c>
      <c r="W103" s="25">
        <f t="shared" si="52"/>
        <v>0</v>
      </c>
      <c r="X103" s="25">
        <f t="shared" si="52"/>
        <v>0</v>
      </c>
      <c r="Y103" s="25">
        <f t="shared" si="52"/>
        <v>0</v>
      </c>
      <c r="Z103" s="25">
        <f t="shared" si="52"/>
        <v>0</v>
      </c>
      <c r="AA103" s="25">
        <f t="shared" si="52"/>
        <v>0</v>
      </c>
      <c r="AB103" s="25">
        <f t="shared" si="52"/>
        <v>0</v>
      </c>
      <c r="AC103" s="25">
        <f t="shared" si="52"/>
        <v>0</v>
      </c>
      <c r="AD103" s="25">
        <f t="shared" si="52"/>
        <v>0</v>
      </c>
      <c r="AE103" s="25">
        <f t="shared" si="52"/>
        <v>0</v>
      </c>
      <c r="AF103" s="25">
        <f t="shared" si="52"/>
        <v>0</v>
      </c>
      <c r="AG103" s="25">
        <f t="shared" si="52"/>
        <v>0</v>
      </c>
      <c r="AH103" s="25">
        <f t="shared" si="52"/>
        <v>0</v>
      </c>
      <c r="AI103" s="25">
        <f t="shared" si="52"/>
        <v>0</v>
      </c>
      <c r="AJ103" s="25">
        <f t="shared" si="52"/>
        <v>0</v>
      </c>
      <c r="AK103" s="25">
        <f t="shared" si="52"/>
        <v>0</v>
      </c>
    </row>
    <row r="104" spans="1:37">
      <c r="A104" s="1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T104" s="1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</row>
    <row r="105" spans="1:37">
      <c r="A105" s="1" t="s">
        <v>941</v>
      </c>
      <c r="B105" s="97">
        <f>B92+B98/1000+B99/10000+B100/100000+B101/1000000+B102/10000000+B103/100000000</f>
        <v>39.0068889</v>
      </c>
      <c r="C105" s="97">
        <f t="shared" ref="C105:R105" si="55">C92+C98/1000+C99/10000+C100/100000+C101/1000000+C102/10000000+C103/100000000</f>
        <v>76.0155587</v>
      </c>
      <c r="D105" s="97">
        <f t="shared" si="55"/>
        <v>59.011124500000001</v>
      </c>
      <c r="E105" s="97">
        <f t="shared" si="55"/>
        <v>75.013667699999999</v>
      </c>
      <c r="F105" s="97">
        <f t="shared" si="55"/>
        <v>68.010456700000006</v>
      </c>
      <c r="G105" s="97">
        <f t="shared" si="55"/>
        <v>16.002333499999995</v>
      </c>
      <c r="H105" s="97">
        <f t="shared" si="55"/>
        <v>28.004457800000001</v>
      </c>
      <c r="I105" s="97">
        <f t="shared" si="55"/>
        <v>32.005577800000005</v>
      </c>
      <c r="J105" s="97">
        <f t="shared" si="55"/>
        <v>5.0011111000000001</v>
      </c>
      <c r="K105" s="97">
        <f t="shared" si="55"/>
        <v>32.006667699999994</v>
      </c>
      <c r="L105" s="97">
        <f t="shared" si="55"/>
        <v>59.010025599999999</v>
      </c>
      <c r="M105" s="97">
        <f t="shared" si="55"/>
        <v>15.002224500000001</v>
      </c>
      <c r="N105" s="97">
        <f t="shared" si="55"/>
        <v>70.011467600000017</v>
      </c>
      <c r="O105" s="97">
        <f t="shared" si="55"/>
        <v>16.002334399999999</v>
      </c>
      <c r="P105" s="97">
        <f t="shared" si="55"/>
        <v>62.010144699999998</v>
      </c>
      <c r="Q105" s="97">
        <f t="shared" si="55"/>
        <v>51.007222200000001</v>
      </c>
      <c r="R105" s="97">
        <f t="shared" si="55"/>
        <v>62.011333599999993</v>
      </c>
      <c r="T105" s="1" t="s">
        <v>941</v>
      </c>
      <c r="U105" s="97">
        <f>U92+U98/1000+U99/10000+U100/100000+U101/1000000+U102/10000000+U103/100000000</f>
        <v>39.0068889</v>
      </c>
      <c r="V105" s="97">
        <f t="shared" ref="V105:AK105" si="56">V92+V98/1000+V99/10000+V100/100000+V101/1000000+V102/10000000+V103/100000000</f>
        <v>73.014557600000018</v>
      </c>
      <c r="W105" s="97">
        <f t="shared" si="56"/>
        <v>58.0111244</v>
      </c>
      <c r="X105" s="97">
        <f t="shared" si="56"/>
        <v>71.012557600000008</v>
      </c>
      <c r="Y105" s="97">
        <f t="shared" si="56"/>
        <v>0</v>
      </c>
      <c r="Z105" s="97">
        <f t="shared" si="56"/>
        <v>16.002333499999995</v>
      </c>
      <c r="AA105" s="97">
        <f t="shared" si="56"/>
        <v>28.004457800000001</v>
      </c>
      <c r="AB105" s="97">
        <f t="shared" si="56"/>
        <v>32.005577800000005</v>
      </c>
      <c r="AC105" s="97">
        <f t="shared" si="56"/>
        <v>5.0011111000000001</v>
      </c>
      <c r="AD105" s="97">
        <f t="shared" si="56"/>
        <v>32.006667699999994</v>
      </c>
      <c r="AE105" s="97">
        <f t="shared" si="56"/>
        <v>57.010024500000007</v>
      </c>
      <c r="AF105" s="97">
        <f t="shared" si="56"/>
        <v>15.002224500000001</v>
      </c>
      <c r="AG105" s="97">
        <f t="shared" si="56"/>
        <v>68.011466500000012</v>
      </c>
      <c r="AH105" s="97">
        <f t="shared" si="56"/>
        <v>16.002334399999999</v>
      </c>
      <c r="AI105" s="97">
        <f t="shared" si="56"/>
        <v>60.010134600000001</v>
      </c>
      <c r="AJ105" s="97">
        <f t="shared" si="56"/>
        <v>50.007122199999998</v>
      </c>
      <c r="AK105" s="97">
        <f t="shared" si="56"/>
        <v>60.010333500000002</v>
      </c>
    </row>
    <row r="106" spans="1:37">
      <c r="A106" s="1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37">
      <c r="A107" s="26" t="s">
        <v>942</v>
      </c>
      <c r="T107" s="26" t="s">
        <v>942</v>
      </c>
    </row>
    <row r="108" spans="1:37">
      <c r="F108" s="1" t="s">
        <v>943</v>
      </c>
      <c r="Y108" s="1" t="s">
        <v>943</v>
      </c>
    </row>
    <row r="109" spans="1:37">
      <c r="A109" s="68">
        <v>1</v>
      </c>
      <c r="B109" s="98">
        <v>45228</v>
      </c>
      <c r="C109" s="99" t="s">
        <v>1321</v>
      </c>
      <c r="D109" s="99" t="s">
        <v>1321</v>
      </c>
      <c r="F109" s="1" t="s">
        <v>944</v>
      </c>
      <c r="T109" s="68">
        <v>1</v>
      </c>
      <c r="U109" s="98">
        <v>45228</v>
      </c>
      <c r="V109" s="99" t="s">
        <v>1321</v>
      </c>
      <c r="W109" s="99" t="s">
        <v>1321</v>
      </c>
      <c r="Y109" s="25" t="str">
        <f t="shared" ref="Y109:Y114" si="57">F109</f>
        <v>V4</v>
      </c>
    </row>
    <row r="110" spans="1:37">
      <c r="A110" s="68">
        <v>2</v>
      </c>
      <c r="B110" s="98">
        <v>45256</v>
      </c>
      <c r="C110" s="99" t="s">
        <v>1322</v>
      </c>
      <c r="D110" s="99" t="s">
        <v>1322</v>
      </c>
      <c r="F110" s="1" t="s">
        <v>945</v>
      </c>
      <c r="T110" s="68">
        <v>2</v>
      </c>
      <c r="U110" s="98">
        <v>45256</v>
      </c>
      <c r="V110" s="99" t="s">
        <v>1322</v>
      </c>
      <c r="W110" s="99" t="s">
        <v>1322</v>
      </c>
      <c r="Y110" s="25" t="str">
        <f t="shared" si="57"/>
        <v>V2</v>
      </c>
    </row>
    <row r="111" spans="1:37">
      <c r="A111" s="68">
        <v>3</v>
      </c>
      <c r="B111" s="98">
        <v>45277</v>
      </c>
      <c r="C111" s="99" t="s">
        <v>1323</v>
      </c>
      <c r="D111" s="99" t="s">
        <v>1323</v>
      </c>
      <c r="F111" s="1" t="s">
        <v>946</v>
      </c>
      <c r="T111" s="68">
        <v>3</v>
      </c>
      <c r="U111" s="98">
        <v>45277</v>
      </c>
      <c r="V111" s="99" t="s">
        <v>1323</v>
      </c>
      <c r="W111" s="99" t="s">
        <v>1323</v>
      </c>
      <c r="Y111" s="25" t="str">
        <f t="shared" si="57"/>
        <v>V3</v>
      </c>
    </row>
    <row r="112" spans="1:37">
      <c r="A112" s="68">
        <v>4</v>
      </c>
      <c r="B112" s="98">
        <v>45340</v>
      </c>
      <c r="C112" s="99" t="s">
        <v>1324</v>
      </c>
      <c r="D112" s="99" t="s">
        <v>1324</v>
      </c>
      <c r="F112" s="1" t="s">
        <v>945</v>
      </c>
      <c r="T112" s="68">
        <v>4</v>
      </c>
      <c r="U112" s="98">
        <v>45340</v>
      </c>
      <c r="V112" s="99" t="s">
        <v>1324</v>
      </c>
      <c r="W112" s="99" t="s">
        <v>1324</v>
      </c>
      <c r="Y112" s="25" t="str">
        <f t="shared" si="57"/>
        <v>V2</v>
      </c>
    </row>
    <row r="113" spans="1:37">
      <c r="A113" s="68">
        <v>5</v>
      </c>
      <c r="B113" s="98">
        <v>45361</v>
      </c>
      <c r="C113" s="99" t="s">
        <v>1325</v>
      </c>
      <c r="D113" s="99" t="s">
        <v>1325</v>
      </c>
      <c r="T113" s="68">
        <v>5</v>
      </c>
      <c r="U113" s="98">
        <v>45361</v>
      </c>
      <c r="V113" s="99" t="s">
        <v>1325</v>
      </c>
      <c r="W113" s="99" t="s">
        <v>1325</v>
      </c>
      <c r="Y113" s="25">
        <f t="shared" si="57"/>
        <v>0</v>
      </c>
    </row>
    <row r="114" spans="1:37">
      <c r="A114" s="68">
        <v>6</v>
      </c>
      <c r="B114" s="98">
        <v>0</v>
      </c>
      <c r="C114" s="99">
        <v>0</v>
      </c>
      <c r="D114" s="99">
        <v>0</v>
      </c>
      <c r="T114" s="68">
        <v>6</v>
      </c>
      <c r="U114" s="98">
        <v>0</v>
      </c>
      <c r="V114" s="99">
        <v>0</v>
      </c>
      <c r="W114" s="99">
        <v>0</v>
      </c>
      <c r="Y114" s="25">
        <f t="shared" si="57"/>
        <v>0</v>
      </c>
    </row>
    <row r="117" spans="1:37">
      <c r="A117" s="92" t="s">
        <v>947</v>
      </c>
    </row>
    <row r="118" spans="1:37" ht="26.25">
      <c r="A118" s="15" t="s">
        <v>948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84"/>
      <c r="M118" s="84"/>
      <c r="N118" s="85"/>
      <c r="O118" s="86"/>
      <c r="P118" s="86"/>
      <c r="R118" s="87" t="s">
        <v>949</v>
      </c>
      <c r="T118" s="15" t="s">
        <v>948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84"/>
      <c r="AF118" s="18"/>
      <c r="AG118" s="18"/>
      <c r="AH118" s="86"/>
      <c r="AI118" s="86"/>
      <c r="AJ118" s="86"/>
      <c r="AK118" s="87" t="s">
        <v>949</v>
      </c>
    </row>
    <row r="119" spans="1:37">
      <c r="A119" s="26" t="s">
        <v>950</v>
      </c>
      <c r="T119" s="26" t="s">
        <v>951</v>
      </c>
    </row>
    <row r="120" spans="1:37">
      <c r="A120" s="52" t="s">
        <v>929</v>
      </c>
      <c r="B120" s="52" t="s">
        <v>53</v>
      </c>
      <c r="C120" s="52" t="s">
        <v>84</v>
      </c>
      <c r="D120" s="52" t="s">
        <v>76</v>
      </c>
      <c r="E120" s="52" t="s">
        <v>412</v>
      </c>
      <c r="F120" s="52" t="s">
        <v>201</v>
      </c>
      <c r="G120" s="52" t="s">
        <v>38</v>
      </c>
      <c r="H120" s="52" t="s">
        <v>58</v>
      </c>
      <c r="I120" s="52" t="s">
        <v>66</v>
      </c>
      <c r="J120" s="52" t="s">
        <v>20</v>
      </c>
      <c r="K120" s="52" t="s">
        <v>26</v>
      </c>
      <c r="L120" s="52" t="s">
        <v>29</v>
      </c>
      <c r="M120" s="52" t="s">
        <v>50</v>
      </c>
      <c r="N120" s="52" t="s">
        <v>162</v>
      </c>
      <c r="O120" s="52" t="s">
        <v>62</v>
      </c>
      <c r="P120" s="52" t="s">
        <v>93</v>
      </c>
      <c r="Q120" s="52" t="s">
        <v>118</v>
      </c>
      <c r="R120" s="52" t="s">
        <v>47</v>
      </c>
      <c r="T120" s="52" t="s">
        <v>929</v>
      </c>
      <c r="U120" s="52" t="s">
        <v>53</v>
      </c>
      <c r="V120" s="52" t="s">
        <v>84</v>
      </c>
      <c r="W120" s="52" t="s">
        <v>76</v>
      </c>
      <c r="X120" s="52" t="s">
        <v>412</v>
      </c>
      <c r="Y120" s="52" t="s">
        <v>201</v>
      </c>
      <c r="Z120" s="52" t="s">
        <v>38</v>
      </c>
      <c r="AA120" s="52" t="s">
        <v>58</v>
      </c>
      <c r="AB120" s="52" t="s">
        <v>66</v>
      </c>
      <c r="AC120" s="52" t="s">
        <v>20</v>
      </c>
      <c r="AD120" s="52" t="s">
        <v>26</v>
      </c>
      <c r="AE120" s="52" t="s">
        <v>29</v>
      </c>
      <c r="AF120" s="52" t="s">
        <v>50</v>
      </c>
      <c r="AG120" s="52" t="s">
        <v>162</v>
      </c>
      <c r="AH120" s="52" t="s">
        <v>62</v>
      </c>
      <c r="AI120" s="52" t="s">
        <v>93</v>
      </c>
      <c r="AJ120" s="52" t="s">
        <v>118</v>
      </c>
      <c r="AK120" s="52" t="s">
        <v>47</v>
      </c>
    </row>
    <row r="121" spans="1:37">
      <c r="A121" s="52" t="s">
        <v>22</v>
      </c>
      <c r="B121" s="34">
        <v>89</v>
      </c>
      <c r="C121" s="32">
        <v>290</v>
      </c>
      <c r="D121" s="32">
        <v>97</v>
      </c>
      <c r="E121" s="32">
        <v>47</v>
      </c>
      <c r="F121" s="32">
        <v>139</v>
      </c>
      <c r="G121" s="32">
        <v>34</v>
      </c>
      <c r="H121" s="32">
        <v>12</v>
      </c>
      <c r="I121" s="32">
        <v>24</v>
      </c>
      <c r="J121" s="32">
        <v>2</v>
      </c>
      <c r="K121" s="32">
        <v>1</v>
      </c>
      <c r="L121" s="32">
        <v>17</v>
      </c>
      <c r="M121" s="32">
        <v>3</v>
      </c>
      <c r="N121" s="32">
        <v>82</v>
      </c>
      <c r="O121" s="32">
        <v>9</v>
      </c>
      <c r="P121" s="32">
        <v>37</v>
      </c>
      <c r="Q121" s="32">
        <v>215</v>
      </c>
      <c r="R121" s="32">
        <v>242</v>
      </c>
      <c r="T121" s="52" t="s">
        <v>22</v>
      </c>
      <c r="U121" s="34">
        <v>89</v>
      </c>
      <c r="V121" s="34">
        <v>290</v>
      </c>
      <c r="W121" s="34">
        <v>97</v>
      </c>
      <c r="X121" s="34">
        <v>47</v>
      </c>
      <c r="Y121" s="34">
        <v>0</v>
      </c>
      <c r="Z121" s="34">
        <v>34</v>
      </c>
      <c r="AA121" s="34">
        <v>12</v>
      </c>
      <c r="AB121" s="34">
        <v>24</v>
      </c>
      <c r="AC121" s="34">
        <v>2</v>
      </c>
      <c r="AD121" s="34">
        <v>1</v>
      </c>
      <c r="AE121" s="34">
        <v>17</v>
      </c>
      <c r="AF121" s="34">
        <v>3</v>
      </c>
      <c r="AG121" s="34">
        <v>82</v>
      </c>
      <c r="AH121" s="34">
        <v>9</v>
      </c>
      <c r="AI121" s="34">
        <v>37</v>
      </c>
      <c r="AJ121" s="34">
        <v>215</v>
      </c>
      <c r="AK121" s="34">
        <v>242</v>
      </c>
    </row>
    <row r="122" spans="1:37">
      <c r="A122" s="52" t="s">
        <v>32</v>
      </c>
      <c r="B122" s="34">
        <v>290</v>
      </c>
      <c r="C122" s="32">
        <v>290</v>
      </c>
      <c r="D122" s="32">
        <v>146</v>
      </c>
      <c r="E122" s="32">
        <v>290</v>
      </c>
      <c r="F122" s="32">
        <v>290</v>
      </c>
      <c r="G122" s="32">
        <v>52</v>
      </c>
      <c r="H122" s="32">
        <v>23</v>
      </c>
      <c r="I122" s="32">
        <v>26</v>
      </c>
      <c r="J122" s="32">
        <v>4</v>
      </c>
      <c r="K122" s="32">
        <v>164</v>
      </c>
      <c r="L122" s="32">
        <v>290</v>
      </c>
      <c r="M122" s="32">
        <v>7</v>
      </c>
      <c r="N122" s="32">
        <v>290</v>
      </c>
      <c r="O122" s="32">
        <v>20</v>
      </c>
      <c r="P122" s="32">
        <v>290</v>
      </c>
      <c r="Q122" s="32">
        <v>290</v>
      </c>
      <c r="R122" s="32">
        <v>271</v>
      </c>
      <c r="T122" s="52" t="s">
        <v>32</v>
      </c>
      <c r="U122" s="34">
        <v>290</v>
      </c>
      <c r="V122" s="34">
        <v>290</v>
      </c>
      <c r="W122" s="34">
        <v>146</v>
      </c>
      <c r="X122" s="34">
        <v>290</v>
      </c>
      <c r="Y122" s="34">
        <v>0</v>
      </c>
      <c r="Z122" s="34">
        <v>52</v>
      </c>
      <c r="AA122" s="34">
        <v>23</v>
      </c>
      <c r="AB122" s="34">
        <v>26</v>
      </c>
      <c r="AC122" s="34">
        <v>4</v>
      </c>
      <c r="AD122" s="34">
        <v>164</v>
      </c>
      <c r="AE122" s="34">
        <v>290</v>
      </c>
      <c r="AF122" s="34">
        <v>7</v>
      </c>
      <c r="AG122" s="34">
        <v>290</v>
      </c>
      <c r="AH122" s="34">
        <v>20</v>
      </c>
      <c r="AI122" s="34">
        <v>290</v>
      </c>
      <c r="AJ122" s="34">
        <v>290</v>
      </c>
      <c r="AK122" s="34">
        <v>271</v>
      </c>
    </row>
    <row r="123" spans="1:37">
      <c r="A123" s="52" t="s">
        <v>35</v>
      </c>
      <c r="B123" s="34">
        <v>290</v>
      </c>
      <c r="C123" s="32">
        <v>290</v>
      </c>
      <c r="D123" s="32">
        <v>290</v>
      </c>
      <c r="E123" s="32">
        <v>290</v>
      </c>
      <c r="F123" s="32">
        <v>290</v>
      </c>
      <c r="G123" s="32">
        <v>67</v>
      </c>
      <c r="H123" s="32">
        <v>66</v>
      </c>
      <c r="I123" s="32">
        <v>59</v>
      </c>
      <c r="J123" s="32">
        <v>6</v>
      </c>
      <c r="K123" s="32">
        <v>200</v>
      </c>
      <c r="L123" s="32">
        <v>290</v>
      </c>
      <c r="M123" s="32">
        <v>11</v>
      </c>
      <c r="N123" s="32">
        <v>290</v>
      </c>
      <c r="O123" s="32">
        <v>98</v>
      </c>
      <c r="P123" s="32">
        <v>290</v>
      </c>
      <c r="Q123" s="32">
        <v>290</v>
      </c>
      <c r="R123" s="32">
        <v>283</v>
      </c>
      <c r="T123" s="52" t="s">
        <v>35</v>
      </c>
      <c r="U123" s="34">
        <v>290</v>
      </c>
      <c r="V123" s="34">
        <v>290</v>
      </c>
      <c r="W123" s="34">
        <v>290</v>
      </c>
      <c r="X123" s="34">
        <v>290</v>
      </c>
      <c r="Y123" s="34">
        <v>0</v>
      </c>
      <c r="Z123" s="34">
        <v>67</v>
      </c>
      <c r="AA123" s="34">
        <v>66</v>
      </c>
      <c r="AB123" s="34">
        <v>59</v>
      </c>
      <c r="AC123" s="34">
        <v>6</v>
      </c>
      <c r="AD123" s="34">
        <v>200</v>
      </c>
      <c r="AE123" s="34">
        <v>290</v>
      </c>
      <c r="AF123" s="34">
        <v>11</v>
      </c>
      <c r="AG123" s="34">
        <v>290</v>
      </c>
      <c r="AH123" s="34">
        <v>98</v>
      </c>
      <c r="AI123" s="34">
        <v>290</v>
      </c>
      <c r="AJ123" s="34">
        <v>290</v>
      </c>
      <c r="AK123" s="34">
        <v>283</v>
      </c>
    </row>
    <row r="124" spans="1:37">
      <c r="A124" s="52" t="s">
        <v>97</v>
      </c>
      <c r="B124" s="34">
        <v>290</v>
      </c>
      <c r="C124" s="32">
        <v>290</v>
      </c>
      <c r="D124" s="32">
        <v>290</v>
      </c>
      <c r="E124" s="32">
        <v>290</v>
      </c>
      <c r="F124" s="32">
        <v>290</v>
      </c>
      <c r="G124" s="32">
        <v>76</v>
      </c>
      <c r="H124" s="32">
        <v>73</v>
      </c>
      <c r="I124" s="32">
        <v>88</v>
      </c>
      <c r="J124" s="32">
        <v>13</v>
      </c>
      <c r="K124" s="32">
        <v>227</v>
      </c>
      <c r="L124" s="32">
        <v>290</v>
      </c>
      <c r="M124" s="32">
        <v>36</v>
      </c>
      <c r="N124" s="32">
        <v>290</v>
      </c>
      <c r="O124" s="32">
        <v>120</v>
      </c>
      <c r="P124" s="32">
        <v>290</v>
      </c>
      <c r="Q124" s="32">
        <v>290</v>
      </c>
      <c r="R124" s="32">
        <v>290</v>
      </c>
      <c r="T124" s="52" t="s">
        <v>97</v>
      </c>
      <c r="U124" s="34">
        <v>290</v>
      </c>
      <c r="V124" s="34">
        <v>290</v>
      </c>
      <c r="W124" s="34">
        <v>290</v>
      </c>
      <c r="X124" s="34">
        <v>290</v>
      </c>
      <c r="Y124" s="34">
        <v>0</v>
      </c>
      <c r="Z124" s="34">
        <v>76</v>
      </c>
      <c r="AA124" s="34">
        <v>73</v>
      </c>
      <c r="AB124" s="34">
        <v>88</v>
      </c>
      <c r="AC124" s="34">
        <v>13</v>
      </c>
      <c r="AD124" s="34">
        <v>227</v>
      </c>
      <c r="AE124" s="34">
        <v>290</v>
      </c>
      <c r="AF124" s="34">
        <v>36</v>
      </c>
      <c r="AG124" s="34">
        <v>290</v>
      </c>
      <c r="AH124" s="34">
        <v>120</v>
      </c>
      <c r="AI124" s="34">
        <v>290</v>
      </c>
      <c r="AJ124" s="34">
        <v>290</v>
      </c>
      <c r="AK124" s="34">
        <v>290</v>
      </c>
    </row>
    <row r="125" spans="1:37">
      <c r="A125" s="52" t="s">
        <v>40</v>
      </c>
      <c r="B125" s="34">
        <v>15</v>
      </c>
      <c r="C125" s="32">
        <v>290</v>
      </c>
      <c r="D125" s="32">
        <v>16</v>
      </c>
      <c r="E125" s="32">
        <v>290</v>
      </c>
      <c r="F125" s="32">
        <v>269</v>
      </c>
      <c r="G125" s="32">
        <v>5</v>
      </c>
      <c r="H125" s="32">
        <v>99</v>
      </c>
      <c r="I125" s="32">
        <v>31</v>
      </c>
      <c r="J125" s="32">
        <v>44</v>
      </c>
      <c r="K125" s="32">
        <v>21</v>
      </c>
      <c r="L125" s="32">
        <v>27</v>
      </c>
      <c r="M125" s="32">
        <v>28</v>
      </c>
      <c r="N125" s="32">
        <v>70</v>
      </c>
      <c r="O125" s="32">
        <v>65</v>
      </c>
      <c r="P125" s="32">
        <v>133</v>
      </c>
      <c r="Q125" s="32">
        <v>132</v>
      </c>
      <c r="R125" s="32">
        <v>14</v>
      </c>
      <c r="T125" s="52" t="s">
        <v>40</v>
      </c>
      <c r="U125" s="34">
        <v>15</v>
      </c>
      <c r="V125" s="34">
        <v>290</v>
      </c>
      <c r="W125" s="34">
        <v>16</v>
      </c>
      <c r="X125" s="34">
        <v>290</v>
      </c>
      <c r="Y125" s="34">
        <v>0</v>
      </c>
      <c r="Z125" s="34">
        <v>5</v>
      </c>
      <c r="AA125" s="34">
        <v>99</v>
      </c>
      <c r="AB125" s="34">
        <v>31</v>
      </c>
      <c r="AC125" s="34">
        <v>44</v>
      </c>
      <c r="AD125" s="34">
        <v>21</v>
      </c>
      <c r="AE125" s="34">
        <v>27</v>
      </c>
      <c r="AF125" s="34">
        <v>28</v>
      </c>
      <c r="AG125" s="34">
        <v>70</v>
      </c>
      <c r="AH125" s="34">
        <v>65</v>
      </c>
      <c r="AI125" s="34">
        <v>133</v>
      </c>
      <c r="AJ125" s="34">
        <v>132</v>
      </c>
      <c r="AK125" s="34">
        <v>14</v>
      </c>
    </row>
    <row r="126" spans="1:37">
      <c r="A126" s="52" t="s">
        <v>71</v>
      </c>
      <c r="B126" s="34">
        <v>22</v>
      </c>
      <c r="C126" s="32">
        <v>290</v>
      </c>
      <c r="D126" s="32">
        <v>25</v>
      </c>
      <c r="E126" s="32">
        <v>290</v>
      </c>
      <c r="F126" s="32">
        <v>272</v>
      </c>
      <c r="G126" s="32">
        <v>18</v>
      </c>
      <c r="H126" s="32">
        <v>182</v>
      </c>
      <c r="I126" s="32">
        <v>32</v>
      </c>
      <c r="J126" s="32">
        <v>87</v>
      </c>
      <c r="K126" s="32">
        <v>48</v>
      </c>
      <c r="L126" s="32">
        <v>108</v>
      </c>
      <c r="M126" s="32">
        <v>30</v>
      </c>
      <c r="N126" s="32">
        <v>141</v>
      </c>
      <c r="O126" s="32">
        <v>71</v>
      </c>
      <c r="P126" s="32">
        <v>183</v>
      </c>
      <c r="Q126" s="32">
        <v>156</v>
      </c>
      <c r="R126" s="32">
        <v>224</v>
      </c>
      <c r="T126" s="52" t="s">
        <v>71</v>
      </c>
      <c r="U126" s="34">
        <v>22</v>
      </c>
      <c r="V126" s="34">
        <v>290</v>
      </c>
      <c r="W126" s="34">
        <v>25</v>
      </c>
      <c r="X126" s="34">
        <v>290</v>
      </c>
      <c r="Y126" s="34">
        <v>0</v>
      </c>
      <c r="Z126" s="34">
        <v>18</v>
      </c>
      <c r="AA126" s="34">
        <v>182</v>
      </c>
      <c r="AB126" s="34">
        <v>32</v>
      </c>
      <c r="AC126" s="34">
        <v>87</v>
      </c>
      <c r="AD126" s="34">
        <v>48</v>
      </c>
      <c r="AE126" s="34">
        <v>108</v>
      </c>
      <c r="AF126" s="34">
        <v>30</v>
      </c>
      <c r="AG126" s="34">
        <v>141</v>
      </c>
      <c r="AH126" s="34">
        <v>71</v>
      </c>
      <c r="AI126" s="34">
        <v>183</v>
      </c>
      <c r="AJ126" s="34">
        <v>156</v>
      </c>
      <c r="AK126" s="34">
        <v>224</v>
      </c>
    </row>
    <row r="127" spans="1:37">
      <c r="A127" s="52" t="s">
        <v>120</v>
      </c>
      <c r="B127" s="34">
        <v>42</v>
      </c>
      <c r="C127" s="32">
        <v>290</v>
      </c>
      <c r="D127" s="32">
        <v>83</v>
      </c>
      <c r="E127" s="32">
        <v>290</v>
      </c>
      <c r="F127" s="32">
        <v>290</v>
      </c>
      <c r="G127" s="32">
        <v>19</v>
      </c>
      <c r="H127" s="32">
        <v>217</v>
      </c>
      <c r="I127" s="32">
        <v>35</v>
      </c>
      <c r="J127" s="32">
        <v>101</v>
      </c>
      <c r="K127" s="32">
        <v>50</v>
      </c>
      <c r="L127" s="32">
        <v>290</v>
      </c>
      <c r="M127" s="32">
        <v>94</v>
      </c>
      <c r="N127" s="32">
        <v>290</v>
      </c>
      <c r="O127" s="32">
        <v>95</v>
      </c>
      <c r="P127" s="32">
        <v>221</v>
      </c>
      <c r="Q127" s="32">
        <v>169</v>
      </c>
      <c r="R127" s="32">
        <v>237</v>
      </c>
      <c r="T127" s="52" t="s">
        <v>120</v>
      </c>
      <c r="U127" s="34">
        <v>42</v>
      </c>
      <c r="V127" s="34">
        <v>290</v>
      </c>
      <c r="W127" s="34">
        <v>83</v>
      </c>
      <c r="X127" s="34">
        <v>290</v>
      </c>
      <c r="Y127" s="34">
        <v>0</v>
      </c>
      <c r="Z127" s="34">
        <v>19</v>
      </c>
      <c r="AA127" s="34">
        <v>217</v>
      </c>
      <c r="AB127" s="34">
        <v>35</v>
      </c>
      <c r="AC127" s="34">
        <v>101</v>
      </c>
      <c r="AD127" s="34">
        <v>50</v>
      </c>
      <c r="AE127" s="34">
        <v>290</v>
      </c>
      <c r="AF127" s="34">
        <v>94</v>
      </c>
      <c r="AG127" s="34">
        <v>290</v>
      </c>
      <c r="AH127" s="34">
        <v>95</v>
      </c>
      <c r="AI127" s="34">
        <v>221</v>
      </c>
      <c r="AJ127" s="34">
        <v>169</v>
      </c>
      <c r="AK127" s="34">
        <v>237</v>
      </c>
    </row>
    <row r="128" spans="1:37">
      <c r="A128" s="52" t="s">
        <v>44</v>
      </c>
      <c r="B128" s="34">
        <v>167</v>
      </c>
      <c r="C128" s="32">
        <v>114</v>
      </c>
      <c r="D128" s="32">
        <v>181</v>
      </c>
      <c r="E128" s="32">
        <v>116</v>
      </c>
      <c r="F128" s="32">
        <v>138</v>
      </c>
      <c r="G128" s="32">
        <v>41</v>
      </c>
      <c r="H128" s="32">
        <v>49</v>
      </c>
      <c r="I128" s="32">
        <v>142</v>
      </c>
      <c r="J128" s="32">
        <v>46</v>
      </c>
      <c r="K128" s="32">
        <v>61</v>
      </c>
      <c r="L128" s="32">
        <v>290</v>
      </c>
      <c r="M128" s="32">
        <v>8</v>
      </c>
      <c r="N128" s="32">
        <v>106</v>
      </c>
      <c r="O128" s="32">
        <v>43</v>
      </c>
      <c r="P128" s="32">
        <v>29</v>
      </c>
      <c r="Q128" s="32">
        <v>62</v>
      </c>
      <c r="R128" s="32">
        <v>173</v>
      </c>
      <c r="T128" s="52" t="s">
        <v>44</v>
      </c>
      <c r="U128" s="34">
        <v>167</v>
      </c>
      <c r="V128" s="34">
        <v>114</v>
      </c>
      <c r="W128" s="34">
        <v>181</v>
      </c>
      <c r="X128" s="34">
        <v>116</v>
      </c>
      <c r="Y128" s="34">
        <v>0</v>
      </c>
      <c r="Z128" s="34">
        <v>41</v>
      </c>
      <c r="AA128" s="34">
        <v>49</v>
      </c>
      <c r="AB128" s="34">
        <v>142</v>
      </c>
      <c r="AC128" s="34">
        <v>46</v>
      </c>
      <c r="AD128" s="34">
        <v>61</v>
      </c>
      <c r="AE128" s="34">
        <v>290</v>
      </c>
      <c r="AF128" s="34">
        <v>8</v>
      </c>
      <c r="AG128" s="34">
        <v>106</v>
      </c>
      <c r="AH128" s="34">
        <v>43</v>
      </c>
      <c r="AI128" s="34">
        <v>29</v>
      </c>
      <c r="AJ128" s="34">
        <v>62</v>
      </c>
      <c r="AK128" s="34">
        <v>173</v>
      </c>
    </row>
    <row r="129" spans="1:37">
      <c r="A129" s="52" t="s">
        <v>80</v>
      </c>
      <c r="B129" s="34">
        <v>235</v>
      </c>
      <c r="C129" s="32">
        <v>162</v>
      </c>
      <c r="D129" s="32">
        <v>256</v>
      </c>
      <c r="E129" s="32">
        <v>290</v>
      </c>
      <c r="F129" s="32">
        <v>178</v>
      </c>
      <c r="G129" s="32">
        <v>77</v>
      </c>
      <c r="H129" s="32">
        <v>290</v>
      </c>
      <c r="I129" s="32">
        <v>289</v>
      </c>
      <c r="J129" s="32">
        <v>55</v>
      </c>
      <c r="K129" s="32">
        <v>63</v>
      </c>
      <c r="L129" s="32">
        <v>290</v>
      </c>
      <c r="M129" s="32">
        <v>56</v>
      </c>
      <c r="N129" s="32">
        <v>290</v>
      </c>
      <c r="O129" s="32">
        <v>51</v>
      </c>
      <c r="P129" s="32">
        <v>149</v>
      </c>
      <c r="Q129" s="32">
        <v>100</v>
      </c>
      <c r="R129" s="32">
        <v>187</v>
      </c>
      <c r="T129" s="52" t="s">
        <v>80</v>
      </c>
      <c r="U129" s="34">
        <v>235</v>
      </c>
      <c r="V129" s="34">
        <v>162</v>
      </c>
      <c r="W129" s="34">
        <v>256</v>
      </c>
      <c r="X129" s="34">
        <v>290</v>
      </c>
      <c r="Y129" s="34">
        <v>0</v>
      </c>
      <c r="Z129" s="34">
        <v>77</v>
      </c>
      <c r="AA129" s="34">
        <v>290</v>
      </c>
      <c r="AB129" s="34">
        <v>289</v>
      </c>
      <c r="AC129" s="34">
        <v>55</v>
      </c>
      <c r="AD129" s="34">
        <v>63</v>
      </c>
      <c r="AE129" s="34">
        <v>290</v>
      </c>
      <c r="AF129" s="34">
        <v>56</v>
      </c>
      <c r="AG129" s="34">
        <v>290</v>
      </c>
      <c r="AH129" s="34">
        <v>51</v>
      </c>
      <c r="AI129" s="34">
        <v>149</v>
      </c>
      <c r="AJ129" s="34">
        <v>100</v>
      </c>
      <c r="AK129" s="34">
        <v>187</v>
      </c>
    </row>
    <row r="130" spans="1:37">
      <c r="A130" s="52" t="s">
        <v>127</v>
      </c>
      <c r="B130" s="34">
        <v>290</v>
      </c>
      <c r="C130" s="32">
        <v>190</v>
      </c>
      <c r="D130" s="32">
        <v>290</v>
      </c>
      <c r="E130" s="32">
        <v>290</v>
      </c>
      <c r="F130" s="32">
        <v>263</v>
      </c>
      <c r="G130" s="32">
        <v>194</v>
      </c>
      <c r="H130" s="32">
        <v>290</v>
      </c>
      <c r="I130" s="32">
        <v>290</v>
      </c>
      <c r="J130" s="32">
        <v>69</v>
      </c>
      <c r="K130" s="32">
        <v>113</v>
      </c>
      <c r="L130" s="32">
        <v>290</v>
      </c>
      <c r="M130" s="32">
        <v>78</v>
      </c>
      <c r="N130" s="32">
        <v>290</v>
      </c>
      <c r="O130" s="32">
        <v>57</v>
      </c>
      <c r="P130" s="32">
        <v>150</v>
      </c>
      <c r="Q130" s="32">
        <v>126</v>
      </c>
      <c r="R130" s="32">
        <v>191</v>
      </c>
      <c r="T130" s="52" t="s">
        <v>127</v>
      </c>
      <c r="U130" s="34">
        <v>290</v>
      </c>
      <c r="V130" s="34">
        <v>190</v>
      </c>
      <c r="W130" s="34">
        <v>290</v>
      </c>
      <c r="X130" s="34">
        <v>290</v>
      </c>
      <c r="Y130" s="34">
        <v>0</v>
      </c>
      <c r="Z130" s="34">
        <v>194</v>
      </c>
      <c r="AA130" s="34">
        <v>290</v>
      </c>
      <c r="AB130" s="34">
        <v>290</v>
      </c>
      <c r="AC130" s="34">
        <v>69</v>
      </c>
      <c r="AD130" s="34">
        <v>113</v>
      </c>
      <c r="AE130" s="34">
        <v>290</v>
      </c>
      <c r="AF130" s="34">
        <v>78</v>
      </c>
      <c r="AG130" s="34">
        <v>290</v>
      </c>
      <c r="AH130" s="34">
        <v>57</v>
      </c>
      <c r="AI130" s="34">
        <v>150</v>
      </c>
      <c r="AJ130" s="34">
        <v>126</v>
      </c>
      <c r="AK130" s="34">
        <v>191</v>
      </c>
    </row>
    <row r="131" spans="1:37">
      <c r="A131" s="52" t="s">
        <v>106</v>
      </c>
      <c r="B131" s="34">
        <v>118</v>
      </c>
      <c r="C131" s="32">
        <v>290</v>
      </c>
      <c r="D131" s="32">
        <v>207</v>
      </c>
      <c r="E131" s="32">
        <v>131</v>
      </c>
      <c r="F131" s="32">
        <v>53</v>
      </c>
      <c r="G131" s="32">
        <v>64</v>
      </c>
      <c r="H131" s="32">
        <v>129</v>
      </c>
      <c r="I131" s="32">
        <v>80</v>
      </c>
      <c r="J131" s="32">
        <v>45</v>
      </c>
      <c r="K131" s="32">
        <v>154</v>
      </c>
      <c r="L131" s="32">
        <v>290</v>
      </c>
      <c r="M131" s="32">
        <v>117</v>
      </c>
      <c r="N131" s="32">
        <v>290</v>
      </c>
      <c r="O131" s="32">
        <v>121</v>
      </c>
      <c r="P131" s="32">
        <v>103</v>
      </c>
      <c r="Q131" s="32">
        <v>90</v>
      </c>
      <c r="R131" s="32">
        <v>110</v>
      </c>
      <c r="T131" s="52" t="s">
        <v>106</v>
      </c>
      <c r="U131" s="34">
        <v>118</v>
      </c>
      <c r="V131" s="34">
        <v>290</v>
      </c>
      <c r="W131" s="34">
        <v>207</v>
      </c>
      <c r="X131" s="34">
        <v>131</v>
      </c>
      <c r="Y131" s="34">
        <v>0</v>
      </c>
      <c r="Z131" s="34">
        <v>64</v>
      </c>
      <c r="AA131" s="34">
        <v>129</v>
      </c>
      <c r="AB131" s="34">
        <v>80</v>
      </c>
      <c r="AC131" s="34">
        <v>45</v>
      </c>
      <c r="AD131" s="34">
        <v>154</v>
      </c>
      <c r="AE131" s="34">
        <v>290</v>
      </c>
      <c r="AF131" s="34">
        <v>117</v>
      </c>
      <c r="AG131" s="34">
        <v>290</v>
      </c>
      <c r="AH131" s="34">
        <v>121</v>
      </c>
      <c r="AI131" s="34">
        <v>103</v>
      </c>
      <c r="AJ131" s="34">
        <v>90</v>
      </c>
      <c r="AK131" s="34">
        <v>110</v>
      </c>
    </row>
    <row r="132" spans="1:37">
      <c r="A132" s="52" t="s">
        <v>149</v>
      </c>
      <c r="B132" s="34">
        <v>140</v>
      </c>
      <c r="C132" s="32">
        <v>290</v>
      </c>
      <c r="D132" s="32">
        <v>220</v>
      </c>
      <c r="E132" s="32">
        <v>290</v>
      </c>
      <c r="F132" s="32">
        <v>208</v>
      </c>
      <c r="G132" s="32">
        <v>218</v>
      </c>
      <c r="H132" s="32">
        <v>290</v>
      </c>
      <c r="I132" s="32">
        <v>290</v>
      </c>
      <c r="J132" s="32">
        <v>81</v>
      </c>
      <c r="K132" s="32">
        <v>225</v>
      </c>
      <c r="L132" s="32">
        <v>290</v>
      </c>
      <c r="M132" s="32">
        <v>122</v>
      </c>
      <c r="N132" s="32">
        <v>290</v>
      </c>
      <c r="O132" s="32">
        <v>124</v>
      </c>
      <c r="P132" s="32">
        <v>130</v>
      </c>
      <c r="Q132" s="32">
        <v>245</v>
      </c>
      <c r="R132" s="32">
        <v>127</v>
      </c>
      <c r="T132" s="52" t="s">
        <v>149</v>
      </c>
      <c r="U132" s="34">
        <v>140</v>
      </c>
      <c r="V132" s="34">
        <v>290</v>
      </c>
      <c r="W132" s="34">
        <v>220</v>
      </c>
      <c r="X132" s="34">
        <v>290</v>
      </c>
      <c r="Y132" s="34">
        <v>0</v>
      </c>
      <c r="Z132" s="34">
        <v>218</v>
      </c>
      <c r="AA132" s="34">
        <v>290</v>
      </c>
      <c r="AB132" s="34">
        <v>290</v>
      </c>
      <c r="AC132" s="34">
        <v>81</v>
      </c>
      <c r="AD132" s="34">
        <v>225</v>
      </c>
      <c r="AE132" s="34">
        <v>290</v>
      </c>
      <c r="AF132" s="34">
        <v>122</v>
      </c>
      <c r="AG132" s="34">
        <v>290</v>
      </c>
      <c r="AH132" s="34">
        <v>124</v>
      </c>
      <c r="AI132" s="34">
        <v>130</v>
      </c>
      <c r="AJ132" s="34">
        <v>245</v>
      </c>
      <c r="AK132" s="34">
        <v>127</v>
      </c>
    </row>
    <row r="133" spans="1:37">
      <c r="A133" s="52" t="s">
        <v>90</v>
      </c>
      <c r="B133" s="34">
        <v>79</v>
      </c>
      <c r="C133" s="32">
        <v>279</v>
      </c>
      <c r="D133" s="32">
        <v>105</v>
      </c>
      <c r="E133" s="32">
        <v>86</v>
      </c>
      <c r="F133" s="32">
        <v>290</v>
      </c>
      <c r="G133" s="32">
        <v>54</v>
      </c>
      <c r="H133" s="32">
        <v>40</v>
      </c>
      <c r="I133" s="32">
        <v>72</v>
      </c>
      <c r="J133" s="32">
        <v>10</v>
      </c>
      <c r="K133" s="32">
        <v>188</v>
      </c>
      <c r="L133" s="32">
        <v>290</v>
      </c>
      <c r="M133" s="32">
        <v>33</v>
      </c>
      <c r="N133" s="32">
        <v>107</v>
      </c>
      <c r="O133" s="32">
        <v>144</v>
      </c>
      <c r="P133" s="32">
        <v>199</v>
      </c>
      <c r="Q133" s="32">
        <v>275</v>
      </c>
      <c r="R133" s="32">
        <v>267</v>
      </c>
      <c r="T133" s="52" t="s">
        <v>90</v>
      </c>
      <c r="U133" s="34">
        <v>79</v>
      </c>
      <c r="V133" s="34">
        <v>279</v>
      </c>
      <c r="W133" s="34">
        <v>105</v>
      </c>
      <c r="X133" s="34">
        <v>86</v>
      </c>
      <c r="Y133" s="34">
        <v>0</v>
      </c>
      <c r="Z133" s="34">
        <v>54</v>
      </c>
      <c r="AA133" s="34">
        <v>40</v>
      </c>
      <c r="AB133" s="34">
        <v>72</v>
      </c>
      <c r="AC133" s="34">
        <v>10</v>
      </c>
      <c r="AD133" s="34">
        <v>188</v>
      </c>
      <c r="AE133" s="34">
        <v>290</v>
      </c>
      <c r="AF133" s="34">
        <v>33</v>
      </c>
      <c r="AG133" s="34">
        <v>107</v>
      </c>
      <c r="AH133" s="34">
        <v>144</v>
      </c>
      <c r="AI133" s="34">
        <v>199</v>
      </c>
      <c r="AJ133" s="34">
        <v>275</v>
      </c>
      <c r="AK133" s="34">
        <v>267</v>
      </c>
    </row>
    <row r="134" spans="1:37">
      <c r="A134" s="52" t="s">
        <v>143</v>
      </c>
      <c r="B134" s="34">
        <v>290</v>
      </c>
      <c r="C134" s="32">
        <v>290</v>
      </c>
      <c r="D134" s="32">
        <v>123</v>
      </c>
      <c r="E134" s="32">
        <v>290</v>
      </c>
      <c r="F134" s="32">
        <v>290</v>
      </c>
      <c r="G134" s="32">
        <v>137</v>
      </c>
      <c r="H134" s="32">
        <v>58</v>
      </c>
      <c r="I134" s="32">
        <v>151</v>
      </c>
      <c r="J134" s="32">
        <v>38</v>
      </c>
      <c r="K134" s="32">
        <v>286</v>
      </c>
      <c r="L134" s="32">
        <v>290</v>
      </c>
      <c r="M134" s="32">
        <v>68</v>
      </c>
      <c r="N134" s="32">
        <v>184</v>
      </c>
      <c r="O134" s="32">
        <v>147</v>
      </c>
      <c r="P134" s="32">
        <v>290</v>
      </c>
      <c r="Q134" s="32">
        <v>290</v>
      </c>
      <c r="R134" s="32">
        <v>273</v>
      </c>
      <c r="T134" s="52" t="s">
        <v>143</v>
      </c>
      <c r="U134" s="34">
        <v>290</v>
      </c>
      <c r="V134" s="34">
        <v>290</v>
      </c>
      <c r="W134" s="34">
        <v>123</v>
      </c>
      <c r="X134" s="34">
        <v>290</v>
      </c>
      <c r="Y134" s="34">
        <v>0</v>
      </c>
      <c r="Z134" s="34">
        <v>137</v>
      </c>
      <c r="AA134" s="34">
        <v>58</v>
      </c>
      <c r="AB134" s="34">
        <v>151</v>
      </c>
      <c r="AC134" s="34">
        <v>38</v>
      </c>
      <c r="AD134" s="34">
        <v>286</v>
      </c>
      <c r="AE134" s="34">
        <v>290</v>
      </c>
      <c r="AF134" s="34">
        <v>68</v>
      </c>
      <c r="AG134" s="34">
        <v>184</v>
      </c>
      <c r="AH134" s="34">
        <v>147</v>
      </c>
      <c r="AI134" s="34">
        <v>290</v>
      </c>
      <c r="AJ134" s="34">
        <v>290</v>
      </c>
      <c r="AK134" s="34">
        <v>273</v>
      </c>
    </row>
    <row r="135" spans="1:37">
      <c r="A135" s="52" t="s">
        <v>141</v>
      </c>
      <c r="B135" s="34">
        <v>163</v>
      </c>
      <c r="C135" s="32">
        <v>74</v>
      </c>
      <c r="D135" s="32">
        <v>251</v>
      </c>
      <c r="E135" s="32">
        <v>152</v>
      </c>
      <c r="F135" s="32">
        <v>177</v>
      </c>
      <c r="G135" s="32">
        <v>222</v>
      </c>
      <c r="H135" s="32">
        <v>119</v>
      </c>
      <c r="I135" s="32">
        <v>85</v>
      </c>
      <c r="J135" s="32">
        <v>201</v>
      </c>
      <c r="K135" s="32">
        <v>112</v>
      </c>
      <c r="L135" s="32">
        <v>290</v>
      </c>
      <c r="M135" s="32">
        <v>91</v>
      </c>
      <c r="N135" s="32">
        <v>157</v>
      </c>
      <c r="O135" s="32">
        <v>171</v>
      </c>
      <c r="P135" s="32">
        <v>253</v>
      </c>
      <c r="Q135" s="32">
        <v>205</v>
      </c>
      <c r="R135" s="32">
        <v>212</v>
      </c>
      <c r="T135" s="52" t="s">
        <v>141</v>
      </c>
      <c r="U135" s="34">
        <v>163</v>
      </c>
      <c r="V135" s="34">
        <v>74</v>
      </c>
      <c r="W135" s="34">
        <v>251</v>
      </c>
      <c r="X135" s="34">
        <v>152</v>
      </c>
      <c r="Y135" s="34">
        <v>0</v>
      </c>
      <c r="Z135" s="34">
        <v>222</v>
      </c>
      <c r="AA135" s="34">
        <v>119</v>
      </c>
      <c r="AB135" s="34">
        <v>85</v>
      </c>
      <c r="AC135" s="34">
        <v>201</v>
      </c>
      <c r="AD135" s="34">
        <v>112</v>
      </c>
      <c r="AE135" s="34">
        <v>290</v>
      </c>
      <c r="AF135" s="34">
        <v>91</v>
      </c>
      <c r="AG135" s="34">
        <v>157</v>
      </c>
      <c r="AH135" s="34">
        <v>171</v>
      </c>
      <c r="AI135" s="34">
        <v>253</v>
      </c>
      <c r="AJ135" s="34">
        <v>205</v>
      </c>
      <c r="AK135" s="34">
        <v>212</v>
      </c>
    </row>
    <row r="136" spans="1:37">
      <c r="A136" s="52" t="s">
        <v>194</v>
      </c>
      <c r="B136" s="34">
        <v>290</v>
      </c>
      <c r="C136" s="32">
        <v>238</v>
      </c>
      <c r="D136" s="32">
        <v>290</v>
      </c>
      <c r="E136" s="32">
        <v>290</v>
      </c>
      <c r="F136" s="32">
        <v>290</v>
      </c>
      <c r="G136" s="32">
        <v>268</v>
      </c>
      <c r="H136" s="32">
        <v>290</v>
      </c>
      <c r="I136" s="32">
        <v>155</v>
      </c>
      <c r="J136" s="32">
        <v>230</v>
      </c>
      <c r="K136" s="32">
        <v>174</v>
      </c>
      <c r="L136" s="32">
        <v>290</v>
      </c>
      <c r="M136" s="32">
        <v>136</v>
      </c>
      <c r="N136" s="32">
        <v>290</v>
      </c>
      <c r="O136" s="32">
        <v>206</v>
      </c>
      <c r="P136" s="32">
        <v>290</v>
      </c>
      <c r="Q136" s="32">
        <v>229</v>
      </c>
      <c r="R136" s="32">
        <v>236</v>
      </c>
      <c r="T136" s="52" t="s">
        <v>194</v>
      </c>
      <c r="U136" s="34">
        <v>290</v>
      </c>
      <c r="V136" s="34">
        <v>238</v>
      </c>
      <c r="W136" s="34">
        <v>290</v>
      </c>
      <c r="X136" s="34">
        <v>290</v>
      </c>
      <c r="Y136" s="34">
        <v>0</v>
      </c>
      <c r="Z136" s="34">
        <v>268</v>
      </c>
      <c r="AA136" s="34">
        <v>290</v>
      </c>
      <c r="AB136" s="34">
        <v>155</v>
      </c>
      <c r="AC136" s="34">
        <v>230</v>
      </c>
      <c r="AD136" s="34">
        <v>174</v>
      </c>
      <c r="AE136" s="34">
        <v>290</v>
      </c>
      <c r="AF136" s="34">
        <v>136</v>
      </c>
      <c r="AG136" s="34">
        <v>290</v>
      </c>
      <c r="AH136" s="34">
        <v>206</v>
      </c>
      <c r="AI136" s="34">
        <v>290</v>
      </c>
      <c r="AJ136" s="34">
        <v>229</v>
      </c>
      <c r="AK136" s="34">
        <v>236</v>
      </c>
    </row>
    <row r="137" spans="1:37">
      <c r="A137" s="52" t="s">
        <v>130</v>
      </c>
      <c r="B137" s="34">
        <v>195</v>
      </c>
      <c r="C137" s="32">
        <v>280</v>
      </c>
      <c r="D137" s="32">
        <v>290</v>
      </c>
      <c r="E137" s="32">
        <v>290</v>
      </c>
      <c r="F137" s="32">
        <v>290</v>
      </c>
      <c r="G137" s="32">
        <v>166</v>
      </c>
      <c r="H137" s="32">
        <v>109</v>
      </c>
      <c r="I137" s="32">
        <v>290</v>
      </c>
      <c r="J137" s="32">
        <v>210</v>
      </c>
      <c r="K137" s="32">
        <v>264</v>
      </c>
      <c r="L137" s="32">
        <v>290</v>
      </c>
      <c r="M137" s="32">
        <v>161</v>
      </c>
      <c r="N137" s="32">
        <v>290</v>
      </c>
      <c r="O137" s="32">
        <v>92</v>
      </c>
      <c r="P137" s="32">
        <v>60</v>
      </c>
      <c r="Q137" s="32">
        <v>189</v>
      </c>
      <c r="R137" s="32">
        <v>180</v>
      </c>
      <c r="T137" s="52" t="s">
        <v>130</v>
      </c>
      <c r="U137" s="34">
        <v>195</v>
      </c>
      <c r="V137" s="34">
        <v>280</v>
      </c>
      <c r="W137" s="34">
        <v>290</v>
      </c>
      <c r="X137" s="34">
        <v>290</v>
      </c>
      <c r="Y137" s="34">
        <v>0</v>
      </c>
      <c r="Z137" s="34">
        <v>166</v>
      </c>
      <c r="AA137" s="34">
        <v>109</v>
      </c>
      <c r="AB137" s="34">
        <v>290</v>
      </c>
      <c r="AC137" s="34">
        <v>210</v>
      </c>
      <c r="AD137" s="34">
        <v>264</v>
      </c>
      <c r="AE137" s="34">
        <v>290</v>
      </c>
      <c r="AF137" s="34">
        <v>161</v>
      </c>
      <c r="AG137" s="34">
        <v>290</v>
      </c>
      <c r="AH137" s="34">
        <v>92</v>
      </c>
      <c r="AI137" s="34">
        <v>60</v>
      </c>
      <c r="AJ137" s="34">
        <v>189</v>
      </c>
      <c r="AK137" s="34">
        <v>180</v>
      </c>
    </row>
    <row r="138" spans="1:37">
      <c r="A138" s="52" t="s">
        <v>247</v>
      </c>
      <c r="B138" s="34">
        <v>262</v>
      </c>
      <c r="C138" s="32">
        <v>290</v>
      </c>
      <c r="D138" s="32">
        <v>290</v>
      </c>
      <c r="E138" s="32">
        <v>290</v>
      </c>
      <c r="F138" s="32">
        <v>290</v>
      </c>
      <c r="G138" s="32">
        <v>239</v>
      </c>
      <c r="H138" s="32">
        <v>288</v>
      </c>
      <c r="I138" s="32">
        <v>290</v>
      </c>
      <c r="J138" s="32">
        <v>233</v>
      </c>
      <c r="K138" s="32">
        <v>285</v>
      </c>
      <c r="L138" s="32">
        <v>290</v>
      </c>
      <c r="M138" s="32">
        <v>241</v>
      </c>
      <c r="N138" s="32">
        <v>290</v>
      </c>
      <c r="O138" s="32">
        <v>261</v>
      </c>
      <c r="P138" s="32">
        <v>197</v>
      </c>
      <c r="Q138" s="32">
        <v>266</v>
      </c>
      <c r="R138" s="32">
        <v>204</v>
      </c>
      <c r="T138" s="52" t="s">
        <v>247</v>
      </c>
      <c r="U138" s="34">
        <v>262</v>
      </c>
      <c r="V138" s="34">
        <v>290</v>
      </c>
      <c r="W138" s="34">
        <v>290</v>
      </c>
      <c r="X138" s="34">
        <v>290</v>
      </c>
      <c r="Y138" s="34">
        <v>0</v>
      </c>
      <c r="Z138" s="34">
        <v>239</v>
      </c>
      <c r="AA138" s="34">
        <v>288</v>
      </c>
      <c r="AB138" s="34">
        <v>290</v>
      </c>
      <c r="AC138" s="34">
        <v>233</v>
      </c>
      <c r="AD138" s="34">
        <v>285</v>
      </c>
      <c r="AE138" s="34">
        <v>290</v>
      </c>
      <c r="AF138" s="34">
        <v>241</v>
      </c>
      <c r="AG138" s="34">
        <v>290</v>
      </c>
      <c r="AH138" s="34">
        <v>261</v>
      </c>
      <c r="AI138" s="34">
        <v>197</v>
      </c>
      <c r="AJ138" s="34">
        <v>266</v>
      </c>
      <c r="AK138" s="34">
        <v>204</v>
      </c>
    </row>
    <row r="139" spans="1:37">
      <c r="A139" s="52" t="s">
        <v>218</v>
      </c>
      <c r="B139" s="34">
        <v>75</v>
      </c>
      <c r="C139" s="32">
        <v>290</v>
      </c>
      <c r="D139" s="32">
        <v>290</v>
      </c>
      <c r="E139" s="32">
        <v>290</v>
      </c>
      <c r="F139" s="32">
        <v>244</v>
      </c>
      <c r="G139" s="32">
        <v>209</v>
      </c>
      <c r="H139" s="32">
        <v>290</v>
      </c>
      <c r="I139" s="32">
        <v>203</v>
      </c>
      <c r="J139" s="32">
        <v>172</v>
      </c>
      <c r="K139" s="32">
        <v>234</v>
      </c>
      <c r="L139" s="32">
        <v>290</v>
      </c>
      <c r="M139" s="32">
        <v>290</v>
      </c>
      <c r="N139" s="32">
        <v>290</v>
      </c>
      <c r="O139" s="32">
        <v>193</v>
      </c>
      <c r="P139" s="32">
        <v>192</v>
      </c>
      <c r="Q139" s="32">
        <v>226</v>
      </c>
      <c r="R139" s="32">
        <v>249</v>
      </c>
      <c r="T139" s="52" t="s">
        <v>218</v>
      </c>
      <c r="U139" s="34">
        <v>75</v>
      </c>
      <c r="V139" s="34">
        <v>290</v>
      </c>
      <c r="W139" s="34">
        <v>290</v>
      </c>
      <c r="X139" s="34">
        <v>290</v>
      </c>
      <c r="Y139" s="34">
        <v>0</v>
      </c>
      <c r="Z139" s="34">
        <v>209</v>
      </c>
      <c r="AA139" s="34">
        <v>290</v>
      </c>
      <c r="AB139" s="34">
        <v>203</v>
      </c>
      <c r="AC139" s="34">
        <v>172</v>
      </c>
      <c r="AD139" s="34">
        <v>234</v>
      </c>
      <c r="AE139" s="34">
        <v>290</v>
      </c>
      <c r="AF139" s="34">
        <v>290</v>
      </c>
      <c r="AG139" s="34">
        <v>290</v>
      </c>
      <c r="AH139" s="34">
        <v>193</v>
      </c>
      <c r="AI139" s="34">
        <v>192</v>
      </c>
      <c r="AJ139" s="34">
        <v>226</v>
      </c>
      <c r="AK139" s="34">
        <v>249</v>
      </c>
    </row>
    <row r="140" spans="1:37">
      <c r="A140" s="52" t="s">
        <v>271</v>
      </c>
      <c r="B140" s="34">
        <v>145</v>
      </c>
      <c r="C140" s="32">
        <v>290</v>
      </c>
      <c r="D140" s="32">
        <v>290</v>
      </c>
      <c r="E140" s="32">
        <v>290</v>
      </c>
      <c r="F140" s="32">
        <v>278</v>
      </c>
      <c r="G140" s="32">
        <v>211</v>
      </c>
      <c r="H140" s="32">
        <v>290</v>
      </c>
      <c r="I140" s="32">
        <v>219</v>
      </c>
      <c r="J140" s="32">
        <v>214</v>
      </c>
      <c r="K140" s="32">
        <v>270</v>
      </c>
      <c r="L140" s="32">
        <v>290</v>
      </c>
      <c r="M140" s="32">
        <v>290</v>
      </c>
      <c r="N140" s="32">
        <v>290</v>
      </c>
      <c r="O140" s="32">
        <v>290</v>
      </c>
      <c r="P140" s="32">
        <v>255</v>
      </c>
      <c r="Q140" s="32">
        <v>290</v>
      </c>
      <c r="R140" s="32">
        <v>252</v>
      </c>
      <c r="T140" s="52" t="s">
        <v>271</v>
      </c>
      <c r="U140" s="34">
        <v>145</v>
      </c>
      <c r="V140" s="34">
        <v>290</v>
      </c>
      <c r="W140" s="34">
        <v>290</v>
      </c>
      <c r="X140" s="34">
        <v>290</v>
      </c>
      <c r="Y140" s="34">
        <v>0</v>
      </c>
      <c r="Z140" s="34">
        <v>211</v>
      </c>
      <c r="AA140" s="34">
        <v>290</v>
      </c>
      <c r="AB140" s="34">
        <v>219</v>
      </c>
      <c r="AC140" s="34">
        <v>214</v>
      </c>
      <c r="AD140" s="34">
        <v>270</v>
      </c>
      <c r="AE140" s="34">
        <v>290</v>
      </c>
      <c r="AF140" s="34">
        <v>290</v>
      </c>
      <c r="AG140" s="34">
        <v>290</v>
      </c>
      <c r="AH140" s="34">
        <v>290</v>
      </c>
      <c r="AI140" s="34">
        <v>255</v>
      </c>
      <c r="AJ140" s="34">
        <v>290</v>
      </c>
      <c r="AK140" s="34">
        <v>252</v>
      </c>
    </row>
    <row r="141" spans="1:37">
      <c r="A141" s="52"/>
      <c r="B141" s="56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T141" s="52"/>
      <c r="U141" s="52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</row>
    <row r="142" spans="1:37">
      <c r="A142" s="52" t="s">
        <v>385</v>
      </c>
      <c r="B142" s="32">
        <v>3487</v>
      </c>
      <c r="C142" s="32">
        <v>5107</v>
      </c>
      <c r="D142" s="32">
        <v>4030</v>
      </c>
      <c r="E142" s="32">
        <v>4882</v>
      </c>
      <c r="F142" s="32">
        <v>4829</v>
      </c>
      <c r="G142" s="32">
        <v>2371</v>
      </c>
      <c r="H142" s="32">
        <v>3204</v>
      </c>
      <c r="I142" s="32">
        <v>2851</v>
      </c>
      <c r="J142" s="32">
        <v>1861</v>
      </c>
      <c r="K142" s="32">
        <v>3140</v>
      </c>
      <c r="L142" s="32">
        <v>5082</v>
      </c>
      <c r="M142" s="32">
        <v>1900</v>
      </c>
      <c r="N142" s="32">
        <v>4617</v>
      </c>
      <c r="O142" s="32">
        <v>2378</v>
      </c>
      <c r="P142" s="32">
        <v>3741</v>
      </c>
      <c r="Q142" s="32">
        <v>4135</v>
      </c>
      <c r="R142" s="32">
        <v>4222</v>
      </c>
      <c r="T142" s="52" t="s">
        <v>385</v>
      </c>
      <c r="U142" s="32">
        <v>3487</v>
      </c>
      <c r="V142" s="32">
        <v>5107</v>
      </c>
      <c r="W142" s="32">
        <v>4030</v>
      </c>
      <c r="X142" s="32">
        <v>4882</v>
      </c>
      <c r="Y142" s="32" t="s">
        <v>937</v>
      </c>
      <c r="Z142" s="32">
        <v>2371</v>
      </c>
      <c r="AA142" s="32">
        <v>3204</v>
      </c>
      <c r="AB142" s="32">
        <v>2851</v>
      </c>
      <c r="AC142" s="32">
        <v>1861</v>
      </c>
      <c r="AD142" s="32">
        <v>3140</v>
      </c>
      <c r="AE142" s="32">
        <v>5082</v>
      </c>
      <c r="AF142" s="32">
        <v>1900</v>
      </c>
      <c r="AG142" s="32">
        <v>4617</v>
      </c>
      <c r="AH142" s="32">
        <v>2378</v>
      </c>
      <c r="AI142" s="32">
        <v>3741</v>
      </c>
      <c r="AJ142" s="32">
        <v>4135</v>
      </c>
      <c r="AK142" s="32">
        <v>4222</v>
      </c>
    </row>
    <row r="143" spans="1:37">
      <c r="A143" s="52"/>
      <c r="B143" s="56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T143" s="52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</row>
    <row r="144" spans="1:37">
      <c r="A144" s="52" t="s">
        <v>375</v>
      </c>
      <c r="B144" s="75">
        <v>8</v>
      </c>
      <c r="C144" s="75">
        <v>17</v>
      </c>
      <c r="D144" s="75">
        <v>10</v>
      </c>
      <c r="E144" s="75">
        <v>15</v>
      </c>
      <c r="F144" s="75">
        <v>14</v>
      </c>
      <c r="G144" s="75">
        <v>3</v>
      </c>
      <c r="H144" s="75">
        <v>7</v>
      </c>
      <c r="I144" s="75">
        <v>5</v>
      </c>
      <c r="J144" s="75">
        <v>1</v>
      </c>
      <c r="K144" s="75">
        <v>6</v>
      </c>
      <c r="L144" s="75">
        <v>16</v>
      </c>
      <c r="M144" s="75">
        <v>2</v>
      </c>
      <c r="N144" s="75">
        <v>13</v>
      </c>
      <c r="O144" s="75">
        <v>4</v>
      </c>
      <c r="P144" s="75">
        <v>9</v>
      </c>
      <c r="Q144" s="75">
        <v>11</v>
      </c>
      <c r="R144" s="75">
        <v>12</v>
      </c>
      <c r="T144" s="52" t="s">
        <v>375</v>
      </c>
      <c r="U144" s="75">
        <v>8</v>
      </c>
      <c r="V144" s="75">
        <v>16</v>
      </c>
      <c r="W144" s="75">
        <v>10</v>
      </c>
      <c r="X144" s="75">
        <v>14</v>
      </c>
      <c r="Y144" s="75" t="s">
        <v>937</v>
      </c>
      <c r="Z144" s="75">
        <v>3</v>
      </c>
      <c r="AA144" s="75">
        <v>7</v>
      </c>
      <c r="AB144" s="75">
        <v>5</v>
      </c>
      <c r="AC144" s="75">
        <v>1</v>
      </c>
      <c r="AD144" s="75">
        <v>6</v>
      </c>
      <c r="AE144" s="75">
        <v>15</v>
      </c>
      <c r="AF144" s="75">
        <v>2</v>
      </c>
      <c r="AG144" s="75">
        <v>13</v>
      </c>
      <c r="AH144" s="75">
        <v>4</v>
      </c>
      <c r="AI144" s="75">
        <v>9</v>
      </c>
      <c r="AJ144" s="75">
        <v>11</v>
      </c>
      <c r="AK144" s="75">
        <v>12</v>
      </c>
    </row>
    <row r="145" spans="1:37">
      <c r="A145" s="52"/>
      <c r="B145" s="56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T145" s="52"/>
      <c r="U145" s="56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</row>
    <row r="146" spans="1:37">
      <c r="A146" s="52" t="s">
        <v>113</v>
      </c>
      <c r="B146" s="56"/>
      <c r="C146" s="32"/>
      <c r="D146" s="32"/>
      <c r="E146" s="32"/>
      <c r="F146" s="32"/>
      <c r="G146" s="32">
        <v>186</v>
      </c>
      <c r="H146" s="32">
        <v>175</v>
      </c>
      <c r="I146" s="32">
        <v>93</v>
      </c>
      <c r="J146" s="32">
        <v>39</v>
      </c>
      <c r="K146" s="32">
        <v>248</v>
      </c>
      <c r="L146" s="32"/>
      <c r="M146" s="32">
        <v>96</v>
      </c>
      <c r="N146" s="32"/>
      <c r="O146" s="32">
        <v>143</v>
      </c>
      <c r="P146" s="32"/>
      <c r="Q146" s="32"/>
      <c r="R146" s="32"/>
      <c r="T146" s="52" t="s">
        <v>113</v>
      </c>
      <c r="U146" s="34">
        <v>0</v>
      </c>
      <c r="V146" s="34">
        <v>0</v>
      </c>
      <c r="W146" s="34">
        <v>0</v>
      </c>
      <c r="X146" s="34">
        <v>0</v>
      </c>
      <c r="Y146" s="34">
        <v>0</v>
      </c>
      <c r="Z146" s="34">
        <v>186</v>
      </c>
      <c r="AA146" s="34">
        <v>175</v>
      </c>
      <c r="AB146" s="34">
        <v>93</v>
      </c>
      <c r="AC146" s="34">
        <v>39</v>
      </c>
      <c r="AD146" s="34">
        <v>248</v>
      </c>
      <c r="AE146" s="34">
        <v>0</v>
      </c>
      <c r="AF146" s="34">
        <v>96</v>
      </c>
      <c r="AG146" s="34">
        <v>0</v>
      </c>
      <c r="AH146" s="34">
        <v>143</v>
      </c>
      <c r="AI146" s="34">
        <v>0</v>
      </c>
      <c r="AJ146" s="34">
        <v>0</v>
      </c>
      <c r="AK146" s="34">
        <v>0</v>
      </c>
    </row>
    <row r="147" spans="1:37">
      <c r="A147" s="52" t="s">
        <v>159</v>
      </c>
      <c r="B147" s="56"/>
      <c r="C147" s="32"/>
      <c r="D147" s="32"/>
      <c r="E147" s="32"/>
      <c r="F147" s="32"/>
      <c r="G147" s="32">
        <v>202</v>
      </c>
      <c r="H147" s="32">
        <v>247</v>
      </c>
      <c r="I147" s="32">
        <v>111</v>
      </c>
      <c r="J147" s="32">
        <v>115</v>
      </c>
      <c r="K147" s="32">
        <v>258</v>
      </c>
      <c r="L147" s="32"/>
      <c r="M147" s="32">
        <v>134</v>
      </c>
      <c r="N147" s="32"/>
      <c r="O147" s="32">
        <v>148</v>
      </c>
      <c r="P147" s="32"/>
      <c r="Q147" s="32"/>
      <c r="R147" s="32"/>
      <c r="T147" s="52" t="s">
        <v>159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202</v>
      </c>
      <c r="AA147" s="34">
        <v>247</v>
      </c>
      <c r="AB147" s="34">
        <v>111</v>
      </c>
      <c r="AC147" s="34">
        <v>115</v>
      </c>
      <c r="AD147" s="34">
        <v>258</v>
      </c>
      <c r="AE147" s="34">
        <v>0</v>
      </c>
      <c r="AF147" s="34">
        <v>134</v>
      </c>
      <c r="AG147" s="34">
        <v>0</v>
      </c>
      <c r="AH147" s="34">
        <v>148</v>
      </c>
      <c r="AI147" s="34">
        <v>0</v>
      </c>
      <c r="AJ147" s="34">
        <v>0</v>
      </c>
      <c r="AK147" s="34">
        <v>0</v>
      </c>
    </row>
    <row r="148" spans="1:37">
      <c r="A148" s="52" t="s">
        <v>176</v>
      </c>
      <c r="B148" s="56"/>
      <c r="C148" s="32"/>
      <c r="D148" s="32"/>
      <c r="E148" s="32"/>
      <c r="F148" s="32"/>
      <c r="G148" s="32">
        <v>228</v>
      </c>
      <c r="H148" s="32"/>
      <c r="I148" s="32">
        <v>125</v>
      </c>
      <c r="J148" s="32">
        <v>128</v>
      </c>
      <c r="K148" s="32"/>
      <c r="L148" s="32"/>
      <c r="M148" s="32">
        <v>158</v>
      </c>
      <c r="N148" s="32"/>
      <c r="O148" s="32">
        <v>153</v>
      </c>
      <c r="P148" s="32"/>
      <c r="Q148" s="32"/>
      <c r="R148" s="32"/>
      <c r="T148" s="52" t="s">
        <v>176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228</v>
      </c>
      <c r="AA148" s="34">
        <v>0</v>
      </c>
      <c r="AB148" s="34">
        <v>125</v>
      </c>
      <c r="AC148" s="34">
        <v>128</v>
      </c>
      <c r="AD148" s="34">
        <v>0</v>
      </c>
      <c r="AE148" s="34">
        <v>0</v>
      </c>
      <c r="AF148" s="34">
        <v>158</v>
      </c>
      <c r="AG148" s="34">
        <v>0</v>
      </c>
      <c r="AH148" s="34">
        <v>153</v>
      </c>
      <c r="AI148" s="34">
        <v>0</v>
      </c>
      <c r="AJ148" s="34">
        <v>0</v>
      </c>
      <c r="AK148" s="34">
        <v>0</v>
      </c>
    </row>
    <row r="149" spans="1:37">
      <c r="A149" s="52" t="s">
        <v>182</v>
      </c>
      <c r="B149" s="56"/>
      <c r="C149" s="32"/>
      <c r="D149" s="32"/>
      <c r="E149" s="32"/>
      <c r="F149" s="32"/>
      <c r="G149" s="32">
        <v>240</v>
      </c>
      <c r="H149" s="32"/>
      <c r="I149" s="32">
        <v>223</v>
      </c>
      <c r="J149" s="32">
        <v>135</v>
      </c>
      <c r="K149" s="32"/>
      <c r="L149" s="32"/>
      <c r="M149" s="32">
        <v>165</v>
      </c>
      <c r="N149" s="32"/>
      <c r="O149" s="32">
        <v>170</v>
      </c>
      <c r="P149" s="32"/>
      <c r="Q149" s="32"/>
      <c r="R149" s="32"/>
      <c r="T149" s="52" t="s">
        <v>182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240</v>
      </c>
      <c r="AA149" s="34">
        <v>0</v>
      </c>
      <c r="AB149" s="34">
        <v>223</v>
      </c>
      <c r="AC149" s="34">
        <v>135</v>
      </c>
      <c r="AD149" s="34">
        <v>0</v>
      </c>
      <c r="AE149" s="34">
        <v>0</v>
      </c>
      <c r="AF149" s="34">
        <v>165</v>
      </c>
      <c r="AG149" s="34">
        <v>0</v>
      </c>
      <c r="AH149" s="34">
        <v>170</v>
      </c>
      <c r="AI149" s="34">
        <v>0</v>
      </c>
      <c r="AJ149" s="34">
        <v>0</v>
      </c>
      <c r="AK149" s="34">
        <v>0</v>
      </c>
    </row>
    <row r="150" spans="1:37">
      <c r="A150" s="52" t="s">
        <v>186</v>
      </c>
      <c r="B150" s="56"/>
      <c r="C150" s="32"/>
      <c r="D150" s="32"/>
      <c r="E150" s="32"/>
      <c r="F150" s="32"/>
      <c r="G150" s="32">
        <v>250</v>
      </c>
      <c r="H150" s="32"/>
      <c r="I150" s="32"/>
      <c r="J150" s="32">
        <v>185</v>
      </c>
      <c r="K150" s="32"/>
      <c r="L150" s="32"/>
      <c r="M150" s="32">
        <v>168</v>
      </c>
      <c r="N150" s="32"/>
      <c r="O150" s="32">
        <v>176</v>
      </c>
      <c r="P150" s="32"/>
      <c r="Q150" s="32"/>
      <c r="R150" s="32"/>
      <c r="T150" s="52" t="s">
        <v>186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250</v>
      </c>
      <c r="AA150" s="34">
        <v>0</v>
      </c>
      <c r="AB150" s="34">
        <v>0</v>
      </c>
      <c r="AC150" s="34">
        <v>185</v>
      </c>
      <c r="AD150" s="34">
        <v>0</v>
      </c>
      <c r="AE150" s="34">
        <v>0</v>
      </c>
      <c r="AF150" s="34">
        <v>168</v>
      </c>
      <c r="AG150" s="34">
        <v>0</v>
      </c>
      <c r="AH150" s="34">
        <v>176</v>
      </c>
      <c r="AI150" s="34">
        <v>0</v>
      </c>
      <c r="AJ150" s="34">
        <v>0</v>
      </c>
      <c r="AK150" s="34">
        <v>0</v>
      </c>
    </row>
    <row r="151" spans="1:37">
      <c r="A151" s="52" t="s">
        <v>191</v>
      </c>
      <c r="B151" s="56"/>
      <c r="C151" s="32"/>
      <c r="D151" s="32"/>
      <c r="E151" s="32"/>
      <c r="F151" s="32"/>
      <c r="G151" s="32">
        <v>259</v>
      </c>
      <c r="H151" s="32"/>
      <c r="I151" s="32"/>
      <c r="J151" s="32">
        <v>216</v>
      </c>
      <c r="K151" s="32"/>
      <c r="L151" s="32"/>
      <c r="M151" s="32">
        <v>257</v>
      </c>
      <c r="N151" s="32"/>
      <c r="O151" s="32">
        <v>179</v>
      </c>
      <c r="P151" s="32"/>
      <c r="Q151" s="32"/>
      <c r="R151" s="32"/>
      <c r="T151" s="52" t="s">
        <v>191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4">
        <v>259</v>
      </c>
      <c r="AA151" s="34">
        <v>0</v>
      </c>
      <c r="AB151" s="34">
        <v>0</v>
      </c>
      <c r="AC151" s="34">
        <v>216</v>
      </c>
      <c r="AD151" s="34">
        <v>0</v>
      </c>
      <c r="AE151" s="34">
        <v>0</v>
      </c>
      <c r="AF151" s="34">
        <v>257</v>
      </c>
      <c r="AG151" s="34">
        <v>0</v>
      </c>
      <c r="AH151" s="34">
        <v>179</v>
      </c>
      <c r="AI151" s="34">
        <v>0</v>
      </c>
      <c r="AJ151" s="34">
        <v>0</v>
      </c>
      <c r="AK151" s="34">
        <v>0</v>
      </c>
    </row>
    <row r="152" spans="1:37">
      <c r="A152" s="52" t="s">
        <v>189</v>
      </c>
      <c r="B152" s="56"/>
      <c r="C152" s="32"/>
      <c r="D152" s="32"/>
      <c r="E152" s="32"/>
      <c r="F152" s="32"/>
      <c r="G152" s="32">
        <v>277</v>
      </c>
      <c r="H152" s="32">
        <v>102</v>
      </c>
      <c r="I152" s="32">
        <v>159</v>
      </c>
      <c r="J152" s="32">
        <v>84</v>
      </c>
      <c r="K152" s="32"/>
      <c r="L152" s="32"/>
      <c r="M152" s="32">
        <v>276</v>
      </c>
      <c r="N152" s="32"/>
      <c r="O152" s="32">
        <v>231</v>
      </c>
      <c r="P152" s="32"/>
      <c r="Q152" s="32"/>
      <c r="R152" s="32">
        <v>274</v>
      </c>
      <c r="T152" s="52" t="s">
        <v>189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4">
        <v>277</v>
      </c>
      <c r="AA152" s="34">
        <v>102</v>
      </c>
      <c r="AB152" s="34">
        <v>159</v>
      </c>
      <c r="AC152" s="34">
        <v>84</v>
      </c>
      <c r="AD152" s="34">
        <v>0</v>
      </c>
      <c r="AE152" s="34">
        <v>0</v>
      </c>
      <c r="AF152" s="34">
        <v>276</v>
      </c>
      <c r="AG152" s="34">
        <v>0</v>
      </c>
      <c r="AH152" s="34">
        <v>231</v>
      </c>
      <c r="AI152" s="34">
        <v>0</v>
      </c>
      <c r="AJ152" s="34">
        <v>0</v>
      </c>
      <c r="AK152" s="34">
        <v>274</v>
      </c>
    </row>
    <row r="153" spans="1:37">
      <c r="A153" s="52" t="s">
        <v>232</v>
      </c>
      <c r="B153" s="56"/>
      <c r="C153" s="32"/>
      <c r="D153" s="32"/>
      <c r="E153" s="32"/>
      <c r="F153" s="32"/>
      <c r="G153" s="32"/>
      <c r="H153" s="32">
        <v>196</v>
      </c>
      <c r="I153" s="32">
        <v>160</v>
      </c>
      <c r="J153" s="32">
        <v>104</v>
      </c>
      <c r="K153" s="32"/>
      <c r="L153" s="32"/>
      <c r="M153" s="32"/>
      <c r="N153" s="32"/>
      <c r="O153" s="32">
        <v>243</v>
      </c>
      <c r="P153" s="32"/>
      <c r="Q153" s="32"/>
      <c r="R153" s="32">
        <v>281</v>
      </c>
      <c r="T153" s="52" t="s">
        <v>232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34">
        <v>196</v>
      </c>
      <c r="AB153" s="34">
        <v>160</v>
      </c>
      <c r="AC153" s="34">
        <v>104</v>
      </c>
      <c r="AD153" s="34">
        <v>0</v>
      </c>
      <c r="AE153" s="34">
        <v>0</v>
      </c>
      <c r="AF153" s="34">
        <v>0</v>
      </c>
      <c r="AG153" s="34">
        <v>0</v>
      </c>
      <c r="AH153" s="34">
        <v>243</v>
      </c>
      <c r="AI153" s="34">
        <v>0</v>
      </c>
      <c r="AJ153" s="34">
        <v>0</v>
      </c>
      <c r="AK153" s="34">
        <v>281</v>
      </c>
    </row>
    <row r="154" spans="1:37">
      <c r="A154" s="52" t="s">
        <v>235</v>
      </c>
      <c r="B154" s="56"/>
      <c r="C154" s="32"/>
      <c r="D154" s="32"/>
      <c r="E154" s="32"/>
      <c r="F154" s="32"/>
      <c r="G154" s="32"/>
      <c r="H154" s="32">
        <v>213</v>
      </c>
      <c r="I154" s="32">
        <v>232</v>
      </c>
      <c r="J154" s="32">
        <v>198</v>
      </c>
      <c r="K154" s="32"/>
      <c r="L154" s="32"/>
      <c r="M154" s="32"/>
      <c r="N154" s="32"/>
      <c r="O154" s="32">
        <v>246</v>
      </c>
      <c r="P154" s="32"/>
      <c r="Q154" s="32"/>
      <c r="R154" s="32">
        <v>282</v>
      </c>
      <c r="T154" s="52" t="s">
        <v>235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213</v>
      </c>
      <c r="AB154" s="34">
        <v>232</v>
      </c>
      <c r="AC154" s="34">
        <v>198</v>
      </c>
      <c r="AD154" s="34">
        <v>0</v>
      </c>
      <c r="AE154" s="34">
        <v>0</v>
      </c>
      <c r="AF154" s="34">
        <v>0</v>
      </c>
      <c r="AG154" s="34">
        <v>0</v>
      </c>
      <c r="AH154" s="34">
        <v>246</v>
      </c>
      <c r="AI154" s="34">
        <v>0</v>
      </c>
      <c r="AJ154" s="34">
        <v>0</v>
      </c>
      <c r="AK154" s="34">
        <v>282</v>
      </c>
    </row>
    <row r="155" spans="1:37">
      <c r="A155" s="52" t="s">
        <v>241</v>
      </c>
      <c r="B155" s="56"/>
      <c r="C155" s="32"/>
      <c r="D155" s="32"/>
      <c r="E155" s="32"/>
      <c r="F155" s="32"/>
      <c r="G155" s="32"/>
      <c r="H155" s="32">
        <v>287</v>
      </c>
      <c r="I155" s="32">
        <v>265</v>
      </c>
      <c r="J155" s="32">
        <v>254</v>
      </c>
      <c r="K155" s="32"/>
      <c r="L155" s="32"/>
      <c r="M155" s="32"/>
      <c r="N155" s="32"/>
      <c r="O155" s="32">
        <v>260</v>
      </c>
      <c r="P155" s="32"/>
      <c r="Q155" s="32"/>
      <c r="R155" s="32">
        <v>284</v>
      </c>
      <c r="T155" s="52" t="s">
        <v>241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287</v>
      </c>
      <c r="AB155" s="34">
        <v>265</v>
      </c>
      <c r="AC155" s="34">
        <v>254</v>
      </c>
      <c r="AD155" s="34">
        <v>0</v>
      </c>
      <c r="AE155" s="34">
        <v>0</v>
      </c>
      <c r="AF155" s="34">
        <v>0</v>
      </c>
      <c r="AG155" s="34">
        <v>0</v>
      </c>
      <c r="AH155" s="34">
        <v>260</v>
      </c>
      <c r="AI155" s="34">
        <v>0</v>
      </c>
      <c r="AJ155" s="34">
        <v>0</v>
      </c>
      <c r="AK155" s="34">
        <v>284</v>
      </c>
    </row>
    <row r="156" spans="1:37">
      <c r="A156" s="52"/>
      <c r="B156" s="56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T156" s="52"/>
      <c r="U156" s="56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</row>
    <row r="157" spans="1:37" ht="15">
      <c r="A157" s="88" t="s">
        <v>930</v>
      </c>
      <c r="B157" s="32">
        <v>22</v>
      </c>
      <c r="C157" s="32">
        <v>45</v>
      </c>
      <c r="D157" s="32">
        <v>39</v>
      </c>
      <c r="E157" s="32">
        <v>43</v>
      </c>
      <c r="F157" s="32">
        <v>39</v>
      </c>
      <c r="G157" s="32">
        <v>10</v>
      </c>
      <c r="H157" s="32">
        <v>13</v>
      </c>
      <c r="I157" s="32">
        <v>22</v>
      </c>
      <c r="J157" s="32">
        <v>3</v>
      </c>
      <c r="K157" s="32">
        <v>19</v>
      </c>
      <c r="L157" s="32">
        <v>32</v>
      </c>
      <c r="M157" s="32">
        <v>9</v>
      </c>
      <c r="N157" s="32">
        <v>41</v>
      </c>
      <c r="O157" s="32">
        <v>10</v>
      </c>
      <c r="P157" s="32">
        <v>40</v>
      </c>
      <c r="Q157" s="32">
        <v>34</v>
      </c>
      <c r="R157" s="32">
        <v>38</v>
      </c>
      <c r="S157" s="27"/>
      <c r="T157" s="88" t="s">
        <v>930</v>
      </c>
      <c r="U157" s="32">
        <v>22</v>
      </c>
      <c r="V157" s="32">
        <v>43</v>
      </c>
      <c r="W157" s="32">
        <v>38</v>
      </c>
      <c r="X157" s="32">
        <v>41</v>
      </c>
      <c r="Y157" s="32" t="s">
        <v>937</v>
      </c>
      <c r="Z157" s="32">
        <v>10</v>
      </c>
      <c r="AA157" s="32">
        <v>13</v>
      </c>
      <c r="AB157" s="32">
        <v>22</v>
      </c>
      <c r="AC157" s="32">
        <v>3</v>
      </c>
      <c r="AD157" s="32">
        <v>19</v>
      </c>
      <c r="AE157" s="32">
        <v>31</v>
      </c>
      <c r="AF157" s="32">
        <v>9</v>
      </c>
      <c r="AG157" s="32">
        <v>40</v>
      </c>
      <c r="AH157" s="32">
        <v>10</v>
      </c>
      <c r="AI157" s="32">
        <v>38</v>
      </c>
      <c r="AJ157" s="32">
        <v>33</v>
      </c>
      <c r="AK157" s="32">
        <v>36</v>
      </c>
    </row>
    <row r="158" spans="1:37">
      <c r="A158" s="52" t="s">
        <v>931</v>
      </c>
      <c r="B158" s="32">
        <v>30</v>
      </c>
      <c r="C158" s="32">
        <v>62</v>
      </c>
      <c r="D158" s="32">
        <v>49</v>
      </c>
      <c r="E158" s="32">
        <v>58</v>
      </c>
      <c r="F158" s="32">
        <v>53</v>
      </c>
      <c r="G158" s="32">
        <v>13</v>
      </c>
      <c r="H158" s="32">
        <v>20</v>
      </c>
      <c r="I158" s="32">
        <v>27</v>
      </c>
      <c r="J158" s="32">
        <v>4</v>
      </c>
      <c r="K158" s="32">
        <v>25</v>
      </c>
      <c r="L158" s="32">
        <v>48</v>
      </c>
      <c r="M158" s="32">
        <v>11</v>
      </c>
      <c r="N158" s="32">
        <v>54</v>
      </c>
      <c r="O158" s="32">
        <v>14</v>
      </c>
      <c r="P158" s="32">
        <v>49</v>
      </c>
      <c r="Q158" s="32">
        <v>45</v>
      </c>
      <c r="R158" s="32">
        <v>50</v>
      </c>
      <c r="T158" s="52" t="s">
        <v>931</v>
      </c>
      <c r="U158" s="32">
        <v>30</v>
      </c>
      <c r="V158" s="32">
        <v>59</v>
      </c>
      <c r="W158" s="32">
        <v>48</v>
      </c>
      <c r="X158" s="32">
        <v>55</v>
      </c>
      <c r="Y158" s="32" t="s">
        <v>937</v>
      </c>
      <c r="Z158" s="32">
        <v>13</v>
      </c>
      <c r="AA158" s="32">
        <v>20</v>
      </c>
      <c r="AB158" s="32">
        <v>27</v>
      </c>
      <c r="AC158" s="32">
        <v>4</v>
      </c>
      <c r="AD158" s="32">
        <v>25</v>
      </c>
      <c r="AE158" s="32">
        <v>46</v>
      </c>
      <c r="AF158" s="32">
        <v>11</v>
      </c>
      <c r="AG158" s="32">
        <v>53</v>
      </c>
      <c r="AH158" s="32">
        <v>14</v>
      </c>
      <c r="AI158" s="32">
        <v>47</v>
      </c>
      <c r="AJ158" s="32">
        <v>44</v>
      </c>
      <c r="AK158" s="32">
        <v>48</v>
      </c>
    </row>
    <row r="159" spans="1:37">
      <c r="A159" s="52" t="s">
        <v>932</v>
      </c>
      <c r="B159" s="75">
        <v>8</v>
      </c>
      <c r="C159" s="75">
        <v>17</v>
      </c>
      <c r="D159" s="75">
        <v>11</v>
      </c>
      <c r="E159" s="75">
        <v>16</v>
      </c>
      <c r="F159" s="75">
        <v>14</v>
      </c>
      <c r="G159" s="75">
        <v>3</v>
      </c>
      <c r="H159" s="75">
        <v>5</v>
      </c>
      <c r="I159" s="75">
        <v>7</v>
      </c>
      <c r="J159" s="75">
        <v>1</v>
      </c>
      <c r="K159" s="75">
        <v>6</v>
      </c>
      <c r="L159" s="75">
        <v>10</v>
      </c>
      <c r="M159" s="75">
        <v>2</v>
      </c>
      <c r="N159" s="75">
        <v>15</v>
      </c>
      <c r="O159" s="75">
        <v>4</v>
      </c>
      <c r="P159" s="75">
        <v>11</v>
      </c>
      <c r="Q159" s="75">
        <v>9</v>
      </c>
      <c r="R159" s="75">
        <v>13</v>
      </c>
      <c r="T159" s="52" t="s">
        <v>932</v>
      </c>
      <c r="U159" s="75">
        <v>8</v>
      </c>
      <c r="V159" s="75">
        <v>16</v>
      </c>
      <c r="W159" s="75">
        <v>12</v>
      </c>
      <c r="X159" s="75">
        <v>15</v>
      </c>
      <c r="Y159" s="75" t="s">
        <v>937</v>
      </c>
      <c r="Z159" s="75">
        <v>3</v>
      </c>
      <c r="AA159" s="75">
        <v>5</v>
      </c>
      <c r="AB159" s="75">
        <v>7</v>
      </c>
      <c r="AC159" s="75">
        <v>1</v>
      </c>
      <c r="AD159" s="75">
        <v>6</v>
      </c>
      <c r="AE159" s="75">
        <v>10</v>
      </c>
      <c r="AF159" s="75">
        <v>2</v>
      </c>
      <c r="AG159" s="75">
        <v>14</v>
      </c>
      <c r="AH159" s="75">
        <v>4</v>
      </c>
      <c r="AI159" s="75">
        <v>11</v>
      </c>
      <c r="AJ159" s="75">
        <v>9</v>
      </c>
      <c r="AK159" s="75">
        <v>12</v>
      </c>
    </row>
    <row r="160" spans="1:37"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</row>
    <row r="161" spans="1:39">
      <c r="A161" s="89" t="s">
        <v>933</v>
      </c>
      <c r="B161" s="90">
        <v>30.06888</v>
      </c>
      <c r="C161" s="90">
        <v>62.15587</v>
      </c>
      <c r="D161" s="90">
        <v>49.112450000000003</v>
      </c>
      <c r="E161" s="90">
        <v>58.136659999999999</v>
      </c>
      <c r="F161" s="90">
        <v>53.104569999999995</v>
      </c>
      <c r="G161" s="90">
        <v>13.023349999999999</v>
      </c>
      <c r="H161" s="90">
        <v>20.04457</v>
      </c>
      <c r="I161" s="90">
        <v>27.057780000000001</v>
      </c>
      <c r="J161" s="90">
        <v>4.0111099999999995</v>
      </c>
      <c r="K161" s="90">
        <v>25.066669999999998</v>
      </c>
      <c r="L161" s="90">
        <v>48.100560000000002</v>
      </c>
      <c r="M161" s="90">
        <v>11.02225</v>
      </c>
      <c r="N161" s="90">
        <v>54.114660000000001</v>
      </c>
      <c r="O161" s="90">
        <v>14.033440000000001</v>
      </c>
      <c r="P161" s="90">
        <v>49.101469999999999</v>
      </c>
      <c r="Q161" s="90">
        <v>45.122220000000006</v>
      </c>
      <c r="R161" s="90">
        <v>50.11336</v>
      </c>
      <c r="T161" s="89" t="s">
        <v>933</v>
      </c>
      <c r="U161" s="91">
        <v>30.06888</v>
      </c>
      <c r="V161" s="91">
        <v>59.14576000000001</v>
      </c>
      <c r="W161" s="91">
        <v>48.112440000000007</v>
      </c>
      <c r="X161" s="91">
        <v>55.12556</v>
      </c>
      <c r="Y161" s="91" t="s">
        <v>952</v>
      </c>
      <c r="Z161" s="91">
        <v>13.023349999999999</v>
      </c>
      <c r="AA161" s="91">
        <v>20.04457</v>
      </c>
      <c r="AB161" s="91">
        <v>27.057780000000001</v>
      </c>
      <c r="AC161" s="91">
        <v>4.0111099999999995</v>
      </c>
      <c r="AD161" s="91">
        <v>25.066669999999998</v>
      </c>
      <c r="AE161" s="91">
        <v>46.100450000000002</v>
      </c>
      <c r="AF161" s="91">
        <v>11.02225</v>
      </c>
      <c r="AG161" s="91">
        <v>53.114649999999997</v>
      </c>
      <c r="AH161" s="91">
        <v>14.033440000000001</v>
      </c>
      <c r="AI161" s="91">
        <v>47.10136</v>
      </c>
      <c r="AJ161" s="91">
        <v>44.112220000000008</v>
      </c>
      <c r="AK161" s="91">
        <v>48.103349999999999</v>
      </c>
      <c r="AM161" s="2" t="s">
        <v>934</v>
      </c>
    </row>
    <row r="162" spans="1:39">
      <c r="B162" s="52" t="s">
        <v>53</v>
      </c>
      <c r="C162" s="52" t="s">
        <v>84</v>
      </c>
      <c r="D162" s="52" t="s">
        <v>76</v>
      </c>
      <c r="E162" s="52" t="s">
        <v>412</v>
      </c>
      <c r="F162" s="52" t="s">
        <v>201</v>
      </c>
      <c r="G162" s="52" t="s">
        <v>38</v>
      </c>
      <c r="H162" s="52" t="s">
        <v>58</v>
      </c>
      <c r="I162" s="52" t="s">
        <v>66</v>
      </c>
      <c r="J162" s="52" t="s">
        <v>20</v>
      </c>
      <c r="K162" s="52" t="s">
        <v>26</v>
      </c>
      <c r="L162" s="52" t="s">
        <v>29</v>
      </c>
      <c r="M162" s="52" t="s">
        <v>50</v>
      </c>
      <c r="N162" s="52" t="s">
        <v>162</v>
      </c>
      <c r="O162" s="52" t="s">
        <v>62</v>
      </c>
      <c r="P162" s="52" t="s">
        <v>93</v>
      </c>
      <c r="Q162" s="52" t="s">
        <v>118</v>
      </c>
      <c r="R162" s="52" t="s">
        <v>47</v>
      </c>
      <c r="U162" s="52" t="s">
        <v>53</v>
      </c>
      <c r="V162" s="52" t="s">
        <v>84</v>
      </c>
      <c r="W162" s="52" t="s">
        <v>76</v>
      </c>
      <c r="X162" s="52" t="s">
        <v>412</v>
      </c>
      <c r="Y162" s="52" t="s">
        <v>201</v>
      </c>
      <c r="Z162" s="52" t="s">
        <v>38</v>
      </c>
      <c r="AA162" s="52" t="s">
        <v>58</v>
      </c>
      <c r="AB162" s="52" t="s">
        <v>66</v>
      </c>
      <c r="AC162" s="52" t="s">
        <v>20</v>
      </c>
      <c r="AD162" s="52" t="s">
        <v>26</v>
      </c>
      <c r="AE162" s="52" t="s">
        <v>29</v>
      </c>
      <c r="AF162" s="52" t="s">
        <v>50</v>
      </c>
      <c r="AG162" s="52" t="s">
        <v>162</v>
      </c>
      <c r="AH162" s="52" t="s">
        <v>62</v>
      </c>
      <c r="AI162" s="52" t="s">
        <v>93</v>
      </c>
      <c r="AJ162" s="52" t="s">
        <v>118</v>
      </c>
      <c r="AK162" s="52" t="s">
        <v>47</v>
      </c>
    </row>
    <row r="163" spans="1:39" ht="15"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</row>
    <row r="164" spans="1:39">
      <c r="A164" s="92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T164" s="92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</row>
    <row r="165" spans="1:39">
      <c r="A165" s="92"/>
      <c r="B165" s="1"/>
      <c r="T165" s="92"/>
      <c r="U165" s="1"/>
    </row>
    <row r="166" spans="1:39">
      <c r="A166" s="92"/>
      <c r="B166" s="1"/>
      <c r="T166" s="92"/>
      <c r="U166" s="1"/>
    </row>
    <row r="167" spans="1:39" ht="15">
      <c r="A167" s="93"/>
      <c r="B167" s="1"/>
      <c r="T167" s="93"/>
      <c r="U167" s="1"/>
    </row>
    <row r="168" spans="1:39" ht="15">
      <c r="A168" s="93"/>
      <c r="B168" s="1"/>
      <c r="T168" s="93"/>
      <c r="U168" s="1"/>
    </row>
    <row r="169" spans="1:39">
      <c r="A169" s="92"/>
      <c r="B169" s="1"/>
      <c r="T169" s="92"/>
      <c r="U169" s="1"/>
    </row>
    <row r="170" spans="1:39">
      <c r="A170" s="92"/>
      <c r="B170" s="1"/>
      <c r="T170" s="92"/>
      <c r="U170" s="1"/>
    </row>
    <row r="171" spans="1:39">
      <c r="A171" s="92"/>
      <c r="B171" s="1"/>
      <c r="T171" s="92"/>
      <c r="U171" s="1"/>
    </row>
    <row r="172" spans="1:39">
      <c r="A172" s="92"/>
      <c r="B172" s="1"/>
      <c r="T172" s="92"/>
      <c r="U172" s="1"/>
    </row>
    <row r="173" spans="1:39">
      <c r="A173" s="92"/>
      <c r="B173" s="1"/>
      <c r="T173" s="92"/>
      <c r="U173" s="1"/>
    </row>
    <row r="174" spans="1:39">
      <c r="A174" s="92"/>
      <c r="B174" s="1"/>
      <c r="T174" s="92"/>
      <c r="U174" s="1"/>
    </row>
    <row r="175" spans="1:39">
      <c r="A175" s="92"/>
      <c r="B175" s="1"/>
      <c r="T175" s="92"/>
      <c r="U175" s="1"/>
    </row>
    <row r="176" spans="1:39">
      <c r="A176" s="92"/>
      <c r="B176" s="1"/>
      <c r="T176" s="92"/>
      <c r="U176" s="1"/>
    </row>
    <row r="177" spans="1:21">
      <c r="A177" s="92"/>
      <c r="B177" s="1"/>
      <c r="T177" s="92"/>
      <c r="U177" s="1"/>
    </row>
    <row r="178" spans="1:21">
      <c r="A178" s="92"/>
      <c r="B178" s="1"/>
      <c r="T178" s="92"/>
      <c r="U178" s="1"/>
    </row>
    <row r="179" spans="1:21">
      <c r="A179" s="92"/>
      <c r="B179" s="1"/>
      <c r="T179" s="92"/>
      <c r="U179" s="1"/>
    </row>
  </sheetData>
  <conditionalFormatting sqref="T15 A15:B15">
    <cfRule type="containsText" dxfId="42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AwardsSenior">
    <tabColor rgb="FF00B050"/>
  </sheetPr>
  <dimension ref="A1:AL127"/>
  <sheetViews>
    <sheetView topLeftCell="A3" workbookViewId="0">
      <pane ySplit="3" topLeftCell="A98" activePane="bottomLeft" state="frozen"/>
      <selection activeCell="A3" sqref="A3"/>
      <selection pane="bottomLeft" activeCell="A107" sqref="A107"/>
    </sheetView>
  </sheetViews>
  <sheetFormatPr defaultRowHeight="12.75" outlineLevelRow="1"/>
  <cols>
    <col min="1" max="1" width="9.140625" style="2"/>
    <col min="2" max="2" width="4.5703125" style="2" customWidth="1"/>
    <col min="3" max="3" width="9.140625" style="2"/>
    <col min="4" max="4" width="34.28515625" style="2" customWidth="1"/>
    <col min="5" max="5" width="9.140625" style="2"/>
    <col min="6" max="7" width="8.5703125" style="2" customWidth="1"/>
    <col min="8" max="8" width="40.140625" style="2" customWidth="1"/>
    <col min="9" max="9" width="18.5703125" style="2" customWidth="1"/>
    <col min="10" max="10" width="14.42578125" style="2" customWidth="1"/>
    <col min="11" max="12" width="8.5703125" style="2" customWidth="1"/>
    <col min="13" max="13" width="8.42578125" style="2" customWidth="1"/>
    <col min="14" max="14" width="18" style="2" customWidth="1"/>
    <col min="15" max="17" width="8.5703125" style="2" customWidth="1"/>
    <col min="18" max="18" width="20.42578125" style="2" customWidth="1"/>
    <col min="19" max="20" width="8.5703125" style="2" customWidth="1"/>
    <col min="21" max="21" width="14.140625" style="2" customWidth="1"/>
    <col min="22" max="23" width="8.5703125" style="2" customWidth="1"/>
    <col min="24" max="26" width="10.28515625" style="2" customWidth="1"/>
    <col min="27" max="27" width="26.7109375" style="2" customWidth="1"/>
    <col min="28" max="28" width="96.42578125" style="2" customWidth="1"/>
    <col min="29" max="29" width="9.140625" style="2" customWidth="1"/>
    <col min="30" max="30" width="38.28515625" style="2" customWidth="1"/>
    <col min="31" max="34" width="9.140625" style="2" customWidth="1"/>
    <col min="35" max="35" width="48.140625" style="2" customWidth="1"/>
    <col min="36" max="39" width="9.140625" style="2" customWidth="1"/>
    <col min="40" max="16384" width="9.140625" style="2"/>
  </cols>
  <sheetData>
    <row r="1" spans="1:38" hidden="1" outlineLevel="1">
      <c r="K1" s="28" t="s">
        <v>953</v>
      </c>
      <c r="L1" s="2">
        <v>453</v>
      </c>
      <c r="M1" s="2">
        <v>6</v>
      </c>
      <c r="N1" s="1" t="s">
        <v>954</v>
      </c>
    </row>
    <row r="2" spans="1:38" hidden="1" outlineLevel="1">
      <c r="K2" s="28" t="s">
        <v>955</v>
      </c>
      <c r="L2" s="2">
        <v>312</v>
      </c>
      <c r="M2" s="2">
        <v>6</v>
      </c>
      <c r="N2" s="1" t="s">
        <v>956</v>
      </c>
    </row>
    <row r="3" spans="1:38" collapsed="1">
      <c r="C3" s="26" t="s">
        <v>1326</v>
      </c>
      <c r="K3" s="1" t="s">
        <v>957</v>
      </c>
    </row>
    <row r="4" spans="1:38">
      <c r="C4" s="26" t="s">
        <v>958</v>
      </c>
      <c r="F4" s="28" t="s">
        <v>959</v>
      </c>
      <c r="G4" s="100" t="e">
        <f>IndNoOfRaces</f>
        <v>#NAME?</v>
      </c>
      <c r="K4" s="101" t="str">
        <f>IF(COUNT(P6:P105)-SUM(S6:S105)=0,"All OK",IF(COUNT(P6:P105)-SUM(S6:S105)-COUNTIF(F6:F105,"No match")=0,"Some N/A","Queries"))</f>
        <v>All OK</v>
      </c>
      <c r="L4" s="102" t="str">
        <f>IF(SUM(L6:L105)=0,"All OK","Queries")</f>
        <v>All OK</v>
      </c>
      <c r="M4" s="102"/>
      <c r="N4" s="102"/>
      <c r="O4" s="102"/>
      <c r="U4" s="28" t="s">
        <v>960</v>
      </c>
      <c r="V4" s="72">
        <v>238</v>
      </c>
      <c r="AB4" s="41" t="s">
        <v>961</v>
      </c>
      <c r="AI4" s="2" t="s">
        <v>962</v>
      </c>
    </row>
    <row r="5" spans="1:38" ht="45" customHeight="1">
      <c r="A5" s="1" t="s">
        <v>963</v>
      </c>
      <c r="B5" s="1"/>
      <c r="D5" s="26" t="s">
        <v>964</v>
      </c>
      <c r="E5" s="26" t="s">
        <v>10</v>
      </c>
      <c r="F5" s="26" t="s">
        <v>965</v>
      </c>
      <c r="G5" s="22" t="s">
        <v>966</v>
      </c>
      <c r="H5" s="22" t="s">
        <v>967</v>
      </c>
      <c r="I5" s="22" t="s">
        <v>968</v>
      </c>
      <c r="J5" s="22" t="s">
        <v>941</v>
      </c>
      <c r="K5" s="57" t="s">
        <v>969</v>
      </c>
      <c r="L5" s="57" t="s">
        <v>970</v>
      </c>
      <c r="M5" s="57" t="s">
        <v>971</v>
      </c>
      <c r="N5" s="57" t="s">
        <v>972</v>
      </c>
      <c r="O5" s="57" t="s">
        <v>973</v>
      </c>
      <c r="P5" s="57" t="s">
        <v>974</v>
      </c>
      <c r="Q5" s="57" t="s">
        <v>975</v>
      </c>
      <c r="R5" s="57" t="s">
        <v>976</v>
      </c>
      <c r="S5" s="57" t="s">
        <v>977</v>
      </c>
      <c r="T5" s="57" t="s">
        <v>978</v>
      </c>
      <c r="U5" s="57" t="s">
        <v>979</v>
      </c>
      <c r="V5" s="57" t="s">
        <v>980</v>
      </c>
      <c r="W5" s="57" t="s">
        <v>981</v>
      </c>
      <c r="X5" s="57" t="s">
        <v>982</v>
      </c>
      <c r="Y5" s="57" t="s">
        <v>983</v>
      </c>
      <c r="Z5" s="103" t="s">
        <v>984</v>
      </c>
      <c r="AA5" s="1" t="s">
        <v>985</v>
      </c>
      <c r="AB5" s="1" t="s">
        <v>986</v>
      </c>
      <c r="AC5" s="2" t="s">
        <v>987</v>
      </c>
      <c r="AI5" s="26" t="s">
        <v>964</v>
      </c>
      <c r="AJ5" s="26" t="s">
        <v>10</v>
      </c>
      <c r="AK5" s="26" t="s">
        <v>965</v>
      </c>
    </row>
    <row r="6" spans="1:38">
      <c r="C6" s="104" t="s">
        <v>988</v>
      </c>
      <c r="D6" s="104"/>
      <c r="E6" s="104"/>
      <c r="F6" s="104"/>
      <c r="G6" s="105"/>
      <c r="H6" s="105"/>
      <c r="I6" s="105"/>
      <c r="J6" s="105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26"/>
      <c r="Y6" s="26"/>
      <c r="Z6" s="26"/>
      <c r="AA6" s="26"/>
      <c r="AB6" s="107"/>
      <c r="AC6" s="108" t="s">
        <v>988</v>
      </c>
      <c r="AD6" s="108"/>
      <c r="AE6" s="108"/>
      <c r="AF6" s="108"/>
      <c r="AH6" s="2" t="s">
        <v>988</v>
      </c>
    </row>
    <row r="7" spans="1:38">
      <c r="B7" s="2">
        <v>1</v>
      </c>
      <c r="C7" s="3">
        <v>1</v>
      </c>
      <c r="D7" s="3" t="str">
        <f t="shared" ref="D7:E9" si="0">INDEX(D$12:D$49,MATCH($F7,$F$12:$F$49,0))</f>
        <v>ANDREW GREEN</v>
      </c>
      <c r="E7" s="3" t="str">
        <f t="shared" si="0"/>
        <v>UCK</v>
      </c>
      <c r="F7" s="109">
        <f>LARGE(F$12:F$49,1)</f>
        <v>899.33299</v>
      </c>
      <c r="G7" s="105"/>
      <c r="H7" s="110"/>
      <c r="I7" s="105"/>
      <c r="J7" s="105"/>
      <c r="K7" s="111" t="str">
        <f>IF(D7="No match","N/A",IF(P7=1,"OK",IF(AB7="No qualifing runner","No prev","No")))</f>
        <v>OK</v>
      </c>
      <c r="L7" s="112"/>
      <c r="M7" s="112"/>
      <c r="N7" s="112"/>
      <c r="O7" s="112"/>
      <c r="P7" s="113">
        <f>INDEX(P$11:P$50,MATCH(X7,X$11:X$50,0))</f>
        <v>1</v>
      </c>
      <c r="Q7" s="114"/>
      <c r="R7" s="115"/>
      <c r="S7" s="116">
        <f>MAX(P7:Q7)</f>
        <v>1</v>
      </c>
      <c r="T7" s="117">
        <f>F7-X7</f>
        <v>1.0002100000000382</v>
      </c>
      <c r="U7" s="112"/>
      <c r="V7" s="112"/>
      <c r="W7" s="112"/>
      <c r="X7" s="118">
        <f>LARGE(X$12:X$49,1)</f>
        <v>898.33277999999996</v>
      </c>
      <c r="Y7" s="118">
        <f>INDEX(Y$12:Y$49,MATCH($F7,$F$12:$F$49,0))</f>
        <v>4</v>
      </c>
      <c r="Z7" s="119" t="b">
        <f>D7=AA7</f>
        <v>1</v>
      </c>
      <c r="AA7" s="119" t="s">
        <v>23</v>
      </c>
      <c r="AB7" s="107"/>
      <c r="AC7" s="120">
        <v>1</v>
      </c>
      <c r="AD7" s="120" t="s">
        <v>989</v>
      </c>
      <c r="AE7" s="120" t="s">
        <v>134</v>
      </c>
      <c r="AF7" s="121">
        <v>1198.3279889999999</v>
      </c>
      <c r="AH7" s="2">
        <v>1</v>
      </c>
      <c r="AI7" s="122"/>
      <c r="AJ7" s="122"/>
      <c r="AK7" s="123"/>
      <c r="AL7" s="2" t="b">
        <f>AI7=D7</f>
        <v>0</v>
      </c>
    </row>
    <row r="8" spans="1:38">
      <c r="B8" s="2">
        <v>2</v>
      </c>
      <c r="C8" s="3">
        <v>2</v>
      </c>
      <c r="D8" s="3" t="str">
        <f t="shared" si="0"/>
        <v>BEN PEPLER</v>
      </c>
      <c r="E8" s="3" t="str">
        <f t="shared" si="0"/>
        <v>LEW</v>
      </c>
      <c r="F8" s="109">
        <f>LARGE(F$12:F$49,2)</f>
        <v>895.33177999999998</v>
      </c>
      <c r="G8" s="105"/>
      <c r="H8" s="105"/>
      <c r="I8" s="105"/>
      <c r="J8" s="105"/>
      <c r="K8" s="111" t="str">
        <f>IF(D8="No match","N/A",IF(P8=1,"OK",IF(AB8="No qualifing runner","No prev","No")))</f>
        <v>OK</v>
      </c>
      <c r="L8" s="112"/>
      <c r="M8" s="112"/>
      <c r="N8" s="112"/>
      <c r="O8" s="112"/>
      <c r="P8" s="113">
        <f>INDEX(P$11:P$50,MATCH(X8,X$11:X$50,0))</f>
        <v>1</v>
      </c>
      <c r="Q8" s="114"/>
      <c r="R8" s="115"/>
      <c r="S8" s="116">
        <f t="shared" ref="S8:S9" si="1">MAX(P8:Q8)</f>
        <v>1</v>
      </c>
      <c r="T8" s="117">
        <f>F8-X8</f>
        <v>3.0000000003838068E-4</v>
      </c>
      <c r="U8" s="112"/>
      <c r="V8" s="112"/>
      <c r="W8" s="112"/>
      <c r="X8" s="118">
        <f>LARGE(X$12:X$49,2)</f>
        <v>895.33147999999994</v>
      </c>
      <c r="Y8" s="118">
        <f>INDEX(Y$12:Y$49,MATCH($F8,$F$12:$F$49,0))</f>
        <v>3</v>
      </c>
      <c r="Z8" s="119" t="b">
        <f>D8=AA8</f>
        <v>1</v>
      </c>
      <c r="AA8" s="119" t="s">
        <v>405</v>
      </c>
      <c r="AB8" s="107"/>
      <c r="AC8" s="120">
        <v>2</v>
      </c>
      <c r="AD8" s="120" t="s">
        <v>990</v>
      </c>
      <c r="AE8" s="120" t="s">
        <v>53</v>
      </c>
      <c r="AF8" s="121">
        <v>1188.3327868599999</v>
      </c>
      <c r="AH8" s="2">
        <v>2</v>
      </c>
      <c r="AI8" s="122"/>
      <c r="AJ8" s="122"/>
      <c r="AK8" s="123"/>
      <c r="AL8" s="2" t="b">
        <f>AI8=D8</f>
        <v>0</v>
      </c>
    </row>
    <row r="9" spans="1:38">
      <c r="B9" s="2">
        <v>3</v>
      </c>
      <c r="C9" s="3">
        <v>3</v>
      </c>
      <c r="D9" s="3" t="str">
        <f t="shared" si="0"/>
        <v>STEVE GATES</v>
      </c>
      <c r="E9" s="3" t="str">
        <f t="shared" si="0"/>
        <v>HYR</v>
      </c>
      <c r="F9" s="109">
        <f>LARGE(F$12:F$49,3)</f>
        <v>893.33266000000003</v>
      </c>
      <c r="G9" s="105"/>
      <c r="H9" s="105"/>
      <c r="I9" s="105"/>
      <c r="J9" s="105"/>
      <c r="K9" s="111" t="str">
        <f>IF(D9="No match","N/A",IF(P9=1,"OK",IF(AB9="No qualifing runner","No prev","No")))</f>
        <v>OK</v>
      </c>
      <c r="L9" s="112"/>
      <c r="M9" s="112"/>
      <c r="N9" s="112"/>
      <c r="O9" s="112"/>
      <c r="P9" s="113">
        <f>INDEX(P$11:P$50,MATCH(X9,X$11:X$50,0))</f>
        <v>1</v>
      </c>
      <c r="Q9" s="114"/>
      <c r="R9" s="115"/>
      <c r="S9" s="116">
        <f t="shared" si="1"/>
        <v>1</v>
      </c>
      <c r="T9" s="117">
        <f>F9-X9</f>
        <v>3.0117999999999938</v>
      </c>
      <c r="U9" s="112"/>
      <c r="V9" s="112"/>
      <c r="W9" s="112"/>
      <c r="X9" s="118">
        <f>LARGE(X$12:X$49,3)</f>
        <v>890.32086000000004</v>
      </c>
      <c r="Y9" s="118">
        <f>INDEX(Y$12:Y$49,MATCH($F9,$F$12:$F$49,0))</f>
        <v>3</v>
      </c>
      <c r="Z9" s="119" t="b">
        <f>D9=AA9</f>
        <v>0</v>
      </c>
      <c r="AA9" s="119" t="s">
        <v>36</v>
      </c>
      <c r="AB9" s="107"/>
      <c r="AC9" s="120">
        <v>3</v>
      </c>
      <c r="AD9" s="120" t="s">
        <v>991</v>
      </c>
      <c r="AE9" s="120" t="s">
        <v>76</v>
      </c>
      <c r="AF9" s="121">
        <v>1187.3203971200001</v>
      </c>
      <c r="AH9" s="2">
        <v>3</v>
      </c>
      <c r="AI9" s="122"/>
      <c r="AJ9" s="122"/>
      <c r="AK9" s="123"/>
      <c r="AL9" s="2" t="b">
        <f>AI9=D9</f>
        <v>0</v>
      </c>
    </row>
    <row r="10" spans="1:38">
      <c r="F10" s="124"/>
      <c r="G10" s="124"/>
      <c r="H10" s="124"/>
      <c r="I10" s="124"/>
      <c r="J10" s="124"/>
      <c r="K10" s="125"/>
      <c r="L10" s="124"/>
      <c r="M10" s="124"/>
      <c r="N10" s="124"/>
      <c r="O10" s="124"/>
      <c r="P10" s="126"/>
      <c r="Q10" s="126"/>
      <c r="R10" s="126"/>
      <c r="S10" s="126"/>
      <c r="T10" s="124"/>
      <c r="U10" s="124"/>
      <c r="V10" s="124"/>
      <c r="W10" s="124"/>
      <c r="X10" s="119"/>
      <c r="Y10" s="119"/>
      <c r="Z10" s="119"/>
      <c r="AA10" s="119"/>
      <c r="AB10" s="107"/>
      <c r="AC10" s="127"/>
      <c r="AD10" s="127"/>
      <c r="AE10" s="127"/>
      <c r="AF10" s="128"/>
      <c r="AI10" s="107"/>
      <c r="AJ10" s="107"/>
      <c r="AK10" s="119"/>
    </row>
    <row r="11" spans="1:38">
      <c r="A11" s="72"/>
      <c r="B11" s="72"/>
      <c r="C11" s="104" t="s">
        <v>992</v>
      </c>
      <c r="D11" s="104"/>
      <c r="E11" s="104"/>
      <c r="F11" s="129"/>
      <c r="G11" s="129"/>
      <c r="H11" s="105"/>
      <c r="I11" s="105"/>
      <c r="J11" s="130"/>
      <c r="K11" s="131"/>
      <c r="L11" s="105"/>
      <c r="M11" s="105"/>
      <c r="N11" s="105"/>
      <c r="O11" s="105"/>
      <c r="P11" s="132"/>
      <c r="Q11" s="132"/>
      <c r="R11" s="132"/>
      <c r="S11" s="132"/>
      <c r="T11" s="105"/>
      <c r="U11" s="105"/>
      <c r="V11" s="105"/>
      <c r="W11" s="105"/>
      <c r="X11" s="133"/>
      <c r="Y11" s="133"/>
      <c r="Z11" s="133"/>
      <c r="AA11" s="133"/>
      <c r="AB11" s="107"/>
      <c r="AC11" s="108" t="s">
        <v>992</v>
      </c>
      <c r="AD11" s="108"/>
      <c r="AE11" s="108"/>
      <c r="AF11" s="134"/>
      <c r="AH11" s="2" t="s">
        <v>992</v>
      </c>
      <c r="AI11" s="135"/>
      <c r="AJ11" s="135"/>
      <c r="AK11" s="136"/>
    </row>
    <row r="12" spans="1:38">
      <c r="A12" s="2" t="s">
        <v>22</v>
      </c>
      <c r="B12" s="2">
        <v>1</v>
      </c>
      <c r="C12" s="137">
        <f>IF(J12=J13,"=1",1)</f>
        <v>1</v>
      </c>
      <c r="D12" s="138" t="s">
        <v>23</v>
      </c>
      <c r="E12" s="139" t="s">
        <v>25</v>
      </c>
      <c r="F12" s="140">
        <v>899.33299</v>
      </c>
      <c r="G12" s="140">
        <v>4</v>
      </c>
      <c r="H12" s="110" t="e">
        <f>IF(I12="No","Insufficient races",IF(I12="N/A","No runner",IF(C12="=1","Joint Winner",IF(C12="=2","Joint second","OK"))))</f>
        <v>#NAME?</v>
      </c>
      <c r="I12" s="110" t="e">
        <f>IF(D12="No Match","N/A",IF(G12&lt;G$4,"No","OK"))</f>
        <v>#NAME?</v>
      </c>
      <c r="J12" s="141">
        <v>899.33299</v>
      </c>
      <c r="K12" s="111" t="e">
        <f>IF(OR(D12="No match",I12="No"),"N/A",IF(P12=1,"OK",IF(AB12="No qualifing runner","No prev","No")))</f>
        <v>#NAME?</v>
      </c>
      <c r="L12" s="142">
        <v>0</v>
      </c>
      <c r="M12" s="143">
        <v>0</v>
      </c>
      <c r="N12" s="144">
        <v>0</v>
      </c>
      <c r="O12" s="143">
        <v>0</v>
      </c>
      <c r="P12" s="145">
        <v>1</v>
      </c>
      <c r="Q12" s="114"/>
      <c r="R12" s="115"/>
      <c r="S12" s="116">
        <f>MAX(P12:Q12)</f>
        <v>1</v>
      </c>
      <c r="T12" s="117">
        <f>F12-X12</f>
        <v>1.0002100000000382</v>
      </c>
      <c r="U12" s="146" t="str">
        <f>IF(V12&gt;W12,"&gt; predict by "&amp;V12-W12,"")</f>
        <v/>
      </c>
      <c r="V12" s="147">
        <v>299</v>
      </c>
      <c r="W12" s="147">
        <v>300</v>
      </c>
      <c r="X12" s="147">
        <v>898.33277999999996</v>
      </c>
      <c r="Y12" s="147">
        <v>4</v>
      </c>
      <c r="Z12" s="119" t="b">
        <f>D12=AA12</f>
        <v>1</v>
      </c>
      <c r="AA12" s="119" t="s">
        <v>23</v>
      </c>
      <c r="AB12" s="107" t="s">
        <v>23</v>
      </c>
      <c r="AC12" s="120">
        <v>1</v>
      </c>
      <c r="AD12" s="120" t="s">
        <v>990</v>
      </c>
      <c r="AE12" s="120" t="s">
        <v>53</v>
      </c>
      <c r="AF12" s="121">
        <v>1188.3327868599999</v>
      </c>
      <c r="AH12" s="2">
        <v>1</v>
      </c>
      <c r="AI12" s="122"/>
      <c r="AJ12" s="122"/>
      <c r="AK12" s="123"/>
      <c r="AL12" s="2" t="b">
        <f>AI12=D12</f>
        <v>0</v>
      </c>
    </row>
    <row r="13" spans="1:38">
      <c r="A13" s="2" t="s">
        <v>32</v>
      </c>
      <c r="B13" s="2">
        <v>2</v>
      </c>
      <c r="C13" s="137">
        <f>IF(J13=J12,"=1",2)</f>
        <v>2</v>
      </c>
      <c r="D13" s="138" t="s">
        <v>405</v>
      </c>
      <c r="E13" s="139" t="s">
        <v>50</v>
      </c>
      <c r="F13" s="140">
        <v>895.33177999999998</v>
      </c>
      <c r="G13" s="140">
        <v>3</v>
      </c>
      <c r="H13" s="110" t="e">
        <f>IF(I13="No","Insufficient races",IF(I13="N/A","No runner",IF(C13="=1","Joint Winner",IF(C13="=2","Joint second","OK"))))</f>
        <v>#NAME?</v>
      </c>
      <c r="I13" s="110" t="e">
        <f>IF(D13="No Match","N/A",IF(G13&lt;G$4,"No","OK"))</f>
        <v>#NAME?</v>
      </c>
      <c r="J13" s="141">
        <v>895.33177999999998</v>
      </c>
      <c r="K13" s="111" t="e">
        <f>IF(OR(D13="No match",I13="No"),"N/A",IF(P13=1,"OK",IF(AB13="No qualifing runner","No prev","No")))</f>
        <v>#NAME?</v>
      </c>
      <c r="L13" s="142">
        <v>0</v>
      </c>
      <c r="M13" s="143">
        <v>0</v>
      </c>
      <c r="N13" s="144">
        <v>0</v>
      </c>
      <c r="O13" s="143">
        <v>0</v>
      </c>
      <c r="P13" s="145">
        <v>1</v>
      </c>
      <c r="Q13" s="114"/>
      <c r="R13" s="115"/>
      <c r="S13" s="116">
        <f t="shared" ref="S13:S14" si="2">MAX(P13:Q13)</f>
        <v>1</v>
      </c>
      <c r="T13" s="117">
        <f>F13-X13</f>
        <v>3.0000000003838068E-4</v>
      </c>
      <c r="U13" s="146" t="str">
        <f t="shared" ref="U13:U14" si="3">IF(V13&gt;W13,"&gt; predict by "&amp;V13-W13,"")</f>
        <v/>
      </c>
      <c r="V13" s="147">
        <v>0</v>
      </c>
      <c r="W13" s="147">
        <v>299</v>
      </c>
      <c r="X13" s="147">
        <v>895.33147999999994</v>
      </c>
      <c r="Y13" s="147">
        <v>3</v>
      </c>
      <c r="Z13" s="119" t="b">
        <f>D13=AA13</f>
        <v>1</v>
      </c>
      <c r="AA13" s="119" t="s">
        <v>405</v>
      </c>
      <c r="AB13" s="107" t="s">
        <v>405</v>
      </c>
      <c r="AC13" s="120">
        <v>2</v>
      </c>
      <c r="AD13" s="120" t="s">
        <v>993</v>
      </c>
      <c r="AE13" s="120" t="s">
        <v>25</v>
      </c>
      <c r="AF13" s="121">
        <v>1169.3274233000002</v>
      </c>
      <c r="AH13" s="2">
        <v>2</v>
      </c>
      <c r="AI13" s="122"/>
      <c r="AJ13" s="122"/>
      <c r="AK13" s="123"/>
      <c r="AL13" s="2" t="b">
        <f>AI13=D13</f>
        <v>0</v>
      </c>
    </row>
    <row r="14" spans="1:38">
      <c r="A14" s="2" t="s">
        <v>35</v>
      </c>
      <c r="B14" s="2">
        <v>3</v>
      </c>
      <c r="C14" s="137">
        <f>IF(J14=J12,"=1",IF(18=J13,"=2",3))</f>
        <v>3</v>
      </c>
      <c r="D14" s="138" t="s">
        <v>407</v>
      </c>
      <c r="E14" s="139" t="s">
        <v>19</v>
      </c>
      <c r="F14" s="140">
        <v>874.32815000000005</v>
      </c>
      <c r="G14" s="140">
        <v>3</v>
      </c>
      <c r="H14" s="110" t="e">
        <f>IF(I14="No","Insufficient races",IF(I14="N/A","No runner",IF(C14="=1","Joint Winner",IF(C14="=2","Joint second","OK"))))</f>
        <v>#NAME?</v>
      </c>
      <c r="I14" s="110" t="e">
        <f>IF(D14="No Match","N/A",IF(G14&lt;G$4,"No","OK"))</f>
        <v>#NAME?</v>
      </c>
      <c r="J14" s="141">
        <v>874.32815000000005</v>
      </c>
      <c r="K14" s="111" t="e">
        <f>IF(OR(D14="No match",I14="No"),"N/A",IF(P14=1,"OK",IF(AB14="No qualifing runner","No prev","No")))</f>
        <v>#NAME?</v>
      </c>
      <c r="L14" s="142">
        <v>0</v>
      </c>
      <c r="M14" s="143">
        <v>0</v>
      </c>
      <c r="N14" s="144">
        <v>0</v>
      </c>
      <c r="O14" s="143">
        <v>0</v>
      </c>
      <c r="P14" s="145">
        <v>1</v>
      </c>
      <c r="Q14" s="114"/>
      <c r="R14" s="115"/>
      <c r="S14" s="116">
        <f t="shared" si="2"/>
        <v>1</v>
      </c>
      <c r="T14" s="117">
        <f>F14-X14</f>
        <v>4.9999999998817657E-4</v>
      </c>
      <c r="U14" s="146" t="str">
        <f t="shared" si="3"/>
        <v/>
      </c>
      <c r="V14" s="147">
        <v>0</v>
      </c>
      <c r="W14" s="147">
        <v>296</v>
      </c>
      <c r="X14" s="147">
        <v>874.32765000000006</v>
      </c>
      <c r="Y14" s="147">
        <v>3</v>
      </c>
      <c r="Z14" s="119" t="b">
        <f>D14=AA14</f>
        <v>1</v>
      </c>
      <c r="AA14" s="119" t="s">
        <v>407</v>
      </c>
      <c r="AB14" s="107" t="s">
        <v>994</v>
      </c>
      <c r="AC14" s="120">
        <v>3</v>
      </c>
      <c r="AD14" s="120" t="s">
        <v>995</v>
      </c>
      <c r="AE14" s="120" t="s">
        <v>50</v>
      </c>
      <c r="AF14" s="121">
        <v>1169.3272185999999</v>
      </c>
      <c r="AH14" s="2">
        <v>3</v>
      </c>
      <c r="AI14" s="122"/>
      <c r="AJ14" s="122"/>
      <c r="AK14" s="123"/>
      <c r="AL14" s="2" t="b">
        <f>AI14=D14</f>
        <v>0</v>
      </c>
    </row>
    <row r="15" spans="1:38">
      <c r="F15" s="124"/>
      <c r="G15" s="124"/>
      <c r="H15" s="124"/>
      <c r="I15" s="124"/>
      <c r="J15" s="148"/>
      <c r="K15" s="125"/>
      <c r="L15" s="124"/>
      <c r="M15" s="124"/>
      <c r="N15" s="124"/>
      <c r="O15" s="124"/>
      <c r="P15" s="126"/>
      <c r="Q15" s="126"/>
      <c r="R15" s="126"/>
      <c r="S15" s="126"/>
      <c r="T15" s="124"/>
      <c r="U15" s="124"/>
      <c r="V15" s="124"/>
      <c r="W15" s="124"/>
      <c r="X15" s="119"/>
      <c r="Y15" s="119"/>
      <c r="Z15" s="119"/>
      <c r="AA15" s="119"/>
      <c r="AB15" s="107"/>
      <c r="AC15" s="127"/>
      <c r="AD15" s="127"/>
      <c r="AE15" s="127"/>
      <c r="AF15" s="128"/>
      <c r="AI15" s="107"/>
      <c r="AJ15" s="107"/>
      <c r="AK15" s="119"/>
    </row>
    <row r="16" spans="1:38">
      <c r="A16" s="72"/>
      <c r="B16" s="72"/>
      <c r="C16" s="104" t="s">
        <v>996</v>
      </c>
      <c r="D16" s="104"/>
      <c r="E16" s="104"/>
      <c r="F16" s="129"/>
      <c r="G16" s="129"/>
      <c r="H16" s="105"/>
      <c r="I16" s="105"/>
      <c r="J16" s="149"/>
      <c r="K16" s="131"/>
      <c r="L16" s="105"/>
      <c r="M16" s="105"/>
      <c r="N16" s="105"/>
      <c r="O16" s="105"/>
      <c r="P16" s="132"/>
      <c r="Q16" s="132"/>
      <c r="R16" s="132"/>
      <c r="S16" s="132"/>
      <c r="T16" s="105"/>
      <c r="U16" s="105"/>
      <c r="V16" s="105"/>
      <c r="W16" s="105"/>
      <c r="X16" s="133"/>
      <c r="Y16" s="133"/>
      <c r="Z16" s="119"/>
      <c r="AA16" s="119"/>
      <c r="AB16" s="107"/>
      <c r="AC16" s="108" t="s">
        <v>996</v>
      </c>
      <c r="AD16" s="108"/>
      <c r="AE16" s="108"/>
      <c r="AF16" s="134"/>
      <c r="AH16" s="2" t="s">
        <v>996</v>
      </c>
      <c r="AI16" s="135"/>
      <c r="AJ16" s="135"/>
      <c r="AK16" s="136"/>
    </row>
    <row r="17" spans="1:38">
      <c r="A17" s="1" t="s">
        <v>443</v>
      </c>
      <c r="B17" s="2">
        <v>1</v>
      </c>
      <c r="C17" s="137">
        <f>IF(J17=J18,"=1",1)</f>
        <v>1</v>
      </c>
      <c r="D17" s="138" t="s">
        <v>33</v>
      </c>
      <c r="E17" s="139" t="s">
        <v>29</v>
      </c>
      <c r="F17" s="140">
        <v>893.33266000000003</v>
      </c>
      <c r="G17" s="140">
        <v>3</v>
      </c>
      <c r="H17" s="110" t="e">
        <f>IF(I17="No","Insufficient races",IF(I17="N/A","No runner",IF(C17="=1","Joint Winner",IF(C17="=2","Joint second","OK"))))</f>
        <v>#NAME?</v>
      </c>
      <c r="I17" s="110" t="e">
        <f>IF(D17="No Match","N/A",IF(G17&lt;G$4,"No","OK"))</f>
        <v>#NAME?</v>
      </c>
      <c r="J17" s="141">
        <v>893.33266000000003</v>
      </c>
      <c r="K17" s="111" t="e">
        <f>IF(OR(D17="No match",I17="No"),"N/A",IF(P17=1,"OK",IF(AB17="No qualifing runner","No prev","No")))</f>
        <v>#NAME?</v>
      </c>
      <c r="L17" s="142">
        <v>0</v>
      </c>
      <c r="M17" s="143">
        <v>0</v>
      </c>
      <c r="N17" s="144">
        <v>0</v>
      </c>
      <c r="O17" s="143">
        <v>0</v>
      </c>
      <c r="P17" s="145">
        <v>1</v>
      </c>
      <c r="Q17" s="114"/>
      <c r="R17" s="115"/>
      <c r="S17" s="116">
        <f>MAX(P17:Q17)</f>
        <v>1</v>
      </c>
      <c r="T17" s="117">
        <f>F17-X17</f>
        <v>296.00916000000007</v>
      </c>
      <c r="U17" s="146" t="str">
        <f t="shared" ref="U17:U19" si="4">IF(V17&gt;W17,"&gt; predict by "&amp;V17-W17,"")</f>
        <v/>
      </c>
      <c r="V17" s="147">
        <v>296</v>
      </c>
      <c r="W17" s="147">
        <v>300</v>
      </c>
      <c r="X17" s="147">
        <v>597.32349999999997</v>
      </c>
      <c r="Y17" s="147">
        <v>3</v>
      </c>
      <c r="Z17" s="119" t="b">
        <f>D17=AA17</f>
        <v>0</v>
      </c>
      <c r="AA17" s="119" t="s">
        <v>446</v>
      </c>
      <c r="AB17" s="150" t="s">
        <v>997</v>
      </c>
      <c r="AC17" s="120">
        <v>1</v>
      </c>
      <c r="AD17" s="120" t="s">
        <v>989</v>
      </c>
      <c r="AE17" s="120" t="s">
        <v>134</v>
      </c>
      <c r="AF17" s="121">
        <v>1198.3279889999999</v>
      </c>
      <c r="AH17" s="2">
        <v>1</v>
      </c>
      <c r="AI17" s="122"/>
      <c r="AJ17" s="122"/>
      <c r="AK17" s="123"/>
      <c r="AL17" s="2" t="b">
        <f>AI17=D17</f>
        <v>0</v>
      </c>
    </row>
    <row r="18" spans="1:38">
      <c r="A18" s="1" t="s">
        <v>444</v>
      </c>
      <c r="B18" s="2">
        <v>2</v>
      </c>
      <c r="C18" s="137">
        <f>IF(J18=J17,"=1",2)</f>
        <v>2</v>
      </c>
      <c r="D18" s="138" t="s">
        <v>446</v>
      </c>
      <c r="E18" s="139" t="s">
        <v>88</v>
      </c>
      <c r="F18" s="140">
        <v>879.32721000000004</v>
      </c>
      <c r="G18" s="140">
        <v>4</v>
      </c>
      <c r="H18" s="110" t="e">
        <f>IF(I18="No","Insufficient races",IF(I18="N/A","No runner",IF(C18="=1","Joint Winner",IF(C18="=2","Joint second","OK"))))</f>
        <v>#NAME?</v>
      </c>
      <c r="I18" s="110" t="e">
        <f>IF(D18="No Match","N/A",IF(G18&lt;G$4,"No","OK"))</f>
        <v>#NAME?</v>
      </c>
      <c r="J18" s="141">
        <v>879.32721000000004</v>
      </c>
      <c r="K18" s="111" t="e">
        <f>IF(OR(D18="No match",I18="No"),"N/A",IF(P18=1,"OK",IF(AB18="No qualifing runner","No prev","No")))</f>
        <v>#NAME?</v>
      </c>
      <c r="L18" s="142">
        <v>0</v>
      </c>
      <c r="M18" s="143">
        <v>0</v>
      </c>
      <c r="N18" s="144">
        <v>0</v>
      </c>
      <c r="O18" s="143">
        <v>0</v>
      </c>
      <c r="P18" s="145">
        <v>1</v>
      </c>
      <c r="Q18" s="114"/>
      <c r="R18" s="115"/>
      <c r="S18" s="116">
        <f t="shared" ref="S18:S19" si="5">MAX(P18:Q18)</f>
        <v>1</v>
      </c>
      <c r="T18" s="117">
        <f>F18-X18</f>
        <v>5.111000000056265E-3</v>
      </c>
      <c r="U18" s="146" t="str">
        <f t="shared" si="4"/>
        <v/>
      </c>
      <c r="V18" s="147">
        <v>0</v>
      </c>
      <c r="W18" s="147">
        <v>295</v>
      </c>
      <c r="X18" s="147">
        <v>879.32209899999998</v>
      </c>
      <c r="Y18" s="147">
        <v>4</v>
      </c>
      <c r="Z18" s="119" t="b">
        <f>D18=AA18</f>
        <v>0</v>
      </c>
      <c r="AA18" s="119" t="s">
        <v>59</v>
      </c>
      <c r="AB18" s="150" t="s">
        <v>998</v>
      </c>
      <c r="AC18" s="120">
        <v>2</v>
      </c>
      <c r="AD18" s="120" t="s">
        <v>999</v>
      </c>
      <c r="AE18" s="120" t="s">
        <v>38</v>
      </c>
      <c r="AF18" s="121">
        <v>1186.3254880899999</v>
      </c>
      <c r="AH18" s="2">
        <v>2</v>
      </c>
      <c r="AI18" s="122"/>
      <c r="AJ18" s="122"/>
      <c r="AK18" s="123"/>
      <c r="AL18" s="2" t="b">
        <f>AI18=D18</f>
        <v>0</v>
      </c>
    </row>
    <row r="19" spans="1:38">
      <c r="A19" s="1" t="s">
        <v>445</v>
      </c>
      <c r="B19" s="2">
        <v>3</v>
      </c>
      <c r="C19" s="137">
        <f>IF(J19=J17,"=1",IF(18=J18,"=2",3))</f>
        <v>3</v>
      </c>
      <c r="D19" s="138" t="s">
        <v>41</v>
      </c>
      <c r="E19" s="139" t="s">
        <v>29</v>
      </c>
      <c r="F19" s="140">
        <v>865.32455000000004</v>
      </c>
      <c r="G19" s="140">
        <v>4</v>
      </c>
      <c r="H19" s="110" t="e">
        <f>IF(I19="No","Insufficient races",IF(I19="N/A","No runner",IF(C19="=1","Joint Winner",IF(C19="=2","Joint second","OK"))))</f>
        <v>#NAME?</v>
      </c>
      <c r="I19" s="110" t="e">
        <f>IF(D19="No Match","N/A",IF(G19&lt;G$4,"No","OK"))</f>
        <v>#NAME?</v>
      </c>
      <c r="J19" s="141">
        <v>865.32455000000004</v>
      </c>
      <c r="K19" s="111" t="e">
        <f>IF(OR(D19="No match",I19="No"),"N/A",IF(P19=1,"OK",IF(AB19="No qualifing runner","No prev","No")))</f>
        <v>#NAME?</v>
      </c>
      <c r="L19" s="142">
        <v>0</v>
      </c>
      <c r="M19" s="143">
        <v>0</v>
      </c>
      <c r="N19" s="144">
        <v>0</v>
      </c>
      <c r="O19" s="143">
        <v>0</v>
      </c>
      <c r="P19" s="145">
        <v>1</v>
      </c>
      <c r="Q19" s="114"/>
      <c r="R19" s="115"/>
      <c r="S19" s="116">
        <f t="shared" si="5"/>
        <v>1</v>
      </c>
      <c r="T19" s="117">
        <f>F19-X19</f>
        <v>10.011819999999943</v>
      </c>
      <c r="U19" s="146" t="str">
        <f t="shared" si="4"/>
        <v>&gt; predict by 6</v>
      </c>
      <c r="V19" s="147">
        <v>293</v>
      </c>
      <c r="W19" s="147">
        <v>287</v>
      </c>
      <c r="X19" s="147">
        <v>855.3127300000001</v>
      </c>
      <c r="Y19" s="147">
        <v>4</v>
      </c>
      <c r="Z19" s="119" t="b">
        <f>D19=AA19</f>
        <v>1</v>
      </c>
      <c r="AA19" s="119" t="s">
        <v>41</v>
      </c>
      <c r="AB19" s="150" t="s">
        <v>1000</v>
      </c>
      <c r="AC19" s="120">
        <v>3</v>
      </c>
      <c r="AD19" s="120" t="s">
        <v>1001</v>
      </c>
      <c r="AE19" s="120" t="s">
        <v>88</v>
      </c>
      <c r="AF19" s="121">
        <v>1178.3251599</v>
      </c>
      <c r="AH19" s="2">
        <v>3</v>
      </c>
      <c r="AI19" s="122"/>
      <c r="AJ19" s="122"/>
      <c r="AK19" s="123"/>
      <c r="AL19" s="2" t="b">
        <f>AI19=D19</f>
        <v>0</v>
      </c>
    </row>
    <row r="20" spans="1:38">
      <c r="F20" s="124"/>
      <c r="G20" s="124"/>
      <c r="H20" s="124"/>
      <c r="I20" s="124"/>
      <c r="J20" s="148"/>
      <c r="K20" s="125"/>
      <c r="L20" s="124"/>
      <c r="M20" s="124"/>
      <c r="N20" s="124"/>
      <c r="O20" s="124"/>
      <c r="P20" s="126"/>
      <c r="Q20" s="126"/>
      <c r="R20" s="126"/>
      <c r="S20" s="126"/>
      <c r="T20" s="124"/>
      <c r="U20" s="124"/>
      <c r="V20" s="124"/>
      <c r="W20" s="124"/>
      <c r="X20" s="119"/>
      <c r="Y20" s="119"/>
      <c r="Z20" s="119"/>
      <c r="AA20" s="119"/>
      <c r="AB20" s="107"/>
      <c r="AC20" s="127"/>
      <c r="AD20" s="127"/>
      <c r="AE20" s="127"/>
      <c r="AF20" s="128"/>
      <c r="AI20" s="107"/>
      <c r="AJ20" s="107"/>
      <c r="AK20" s="119"/>
    </row>
    <row r="21" spans="1:38">
      <c r="A21" s="72"/>
      <c r="B21" s="72"/>
      <c r="C21" s="104" t="s">
        <v>1002</v>
      </c>
      <c r="D21" s="104"/>
      <c r="E21" s="104"/>
      <c r="F21" s="129"/>
      <c r="G21" s="129"/>
      <c r="H21" s="105"/>
      <c r="I21" s="105"/>
      <c r="J21" s="149"/>
      <c r="K21" s="131"/>
      <c r="L21" s="105"/>
      <c r="M21" s="105"/>
      <c r="N21" s="105"/>
      <c r="O21" s="105"/>
      <c r="P21" s="132"/>
      <c r="Q21" s="132"/>
      <c r="R21" s="132"/>
      <c r="S21" s="132"/>
      <c r="T21" s="105"/>
      <c r="U21" s="105"/>
      <c r="V21" s="105"/>
      <c r="W21" s="105"/>
      <c r="X21" s="133"/>
      <c r="Y21" s="133"/>
      <c r="Z21" s="133"/>
      <c r="AA21" s="133"/>
      <c r="AB21" s="107"/>
      <c r="AC21" s="108" t="s">
        <v>1002</v>
      </c>
      <c r="AD21" s="108"/>
      <c r="AE21" s="108"/>
      <c r="AF21" s="134"/>
      <c r="AH21" s="2" t="s">
        <v>1002</v>
      </c>
      <c r="AI21" s="135"/>
      <c r="AJ21" s="135"/>
      <c r="AK21" s="136"/>
    </row>
    <row r="22" spans="1:38">
      <c r="A22" s="2" t="s">
        <v>40</v>
      </c>
      <c r="B22" s="2">
        <v>1</v>
      </c>
      <c r="C22" s="137">
        <f>IF(J22=J23,"=1",1)</f>
        <v>1</v>
      </c>
      <c r="D22" s="138" t="s">
        <v>36</v>
      </c>
      <c r="E22" s="139" t="s">
        <v>38</v>
      </c>
      <c r="F22" s="140">
        <v>890.33055999999999</v>
      </c>
      <c r="G22" s="140">
        <v>4</v>
      </c>
      <c r="H22" s="110" t="e">
        <f>IF(I22="No","Insufficient races",IF(I22="N/A","No runner",IF(C22="=1","Joint Winner",IF(C22="=2","Joint second","OK"))))</f>
        <v>#NAME?</v>
      </c>
      <c r="I22" s="110" t="e">
        <f>IF(D22="No Match","N/A",IF(G22&lt;G$4,"No","OK"))</f>
        <v>#NAME?</v>
      </c>
      <c r="J22" s="141">
        <v>890.33055999999999</v>
      </c>
      <c r="K22" s="111" t="e">
        <f>IF(OR(D22="No match",I22="No"),"N/A",IF(P22=1,"OK",IF(AB22="No qualifing runner","No prev","No")))</f>
        <v>#NAME?</v>
      </c>
      <c r="L22" s="142">
        <v>0</v>
      </c>
      <c r="M22" s="143">
        <v>0</v>
      </c>
      <c r="N22" s="144">
        <v>0</v>
      </c>
      <c r="O22" s="143">
        <v>0</v>
      </c>
      <c r="P22" s="145">
        <v>1</v>
      </c>
      <c r="Q22" s="114"/>
      <c r="R22" s="115"/>
      <c r="S22" s="116">
        <f>MAX(P22:Q22)</f>
        <v>1</v>
      </c>
      <c r="T22" s="117">
        <f>F22-X22</f>
        <v>9.6999999999525244E-3</v>
      </c>
      <c r="U22" s="146" t="str">
        <f t="shared" ref="U22:U24" si="6">IF(V22&gt;W22,"&gt; predict by "&amp;V22-W22,"")</f>
        <v/>
      </c>
      <c r="V22" s="147">
        <v>294</v>
      </c>
      <c r="W22" s="147">
        <v>298</v>
      </c>
      <c r="X22" s="147">
        <v>890.32086000000004</v>
      </c>
      <c r="Y22" s="147">
        <v>4</v>
      </c>
      <c r="Z22" s="119" t="b">
        <f>D22=AA22</f>
        <v>1</v>
      </c>
      <c r="AA22" s="119" t="s">
        <v>36</v>
      </c>
      <c r="AB22" s="107" t="s">
        <v>36</v>
      </c>
      <c r="AC22" s="120">
        <v>1</v>
      </c>
      <c r="AD22" s="120" t="s">
        <v>991</v>
      </c>
      <c r="AE22" s="120" t="s">
        <v>76</v>
      </c>
      <c r="AF22" s="121">
        <v>1187.3203971200001</v>
      </c>
      <c r="AH22" s="2">
        <v>1</v>
      </c>
      <c r="AI22" s="122"/>
      <c r="AJ22" s="122"/>
      <c r="AK22" s="123"/>
      <c r="AL22" s="2" t="b">
        <f>AI22=D22</f>
        <v>0</v>
      </c>
    </row>
    <row r="23" spans="1:38">
      <c r="A23" s="2" t="s">
        <v>71</v>
      </c>
      <c r="B23" s="2">
        <v>2</v>
      </c>
      <c r="C23" s="137">
        <f>IF(J23=J22,"=1",2)</f>
        <v>2</v>
      </c>
      <c r="D23" s="138" t="s">
        <v>45</v>
      </c>
      <c r="E23" s="139" t="s">
        <v>47</v>
      </c>
      <c r="F23" s="140">
        <v>870.32298000000003</v>
      </c>
      <c r="G23" s="140">
        <v>5</v>
      </c>
      <c r="H23" s="110" t="e">
        <f>IF(I23="No","Insufficient races",IF(I23="N/A","No runner",IF(C23="=1","Joint Winner",IF(C23="=2","Joint second","OK"))))</f>
        <v>#NAME?</v>
      </c>
      <c r="I23" s="110" t="e">
        <f>IF(D23="No Match","N/A",IF(G23&lt;G$4,"No","OK"))</f>
        <v>#NAME?</v>
      </c>
      <c r="J23" s="141">
        <v>870.32298000000003</v>
      </c>
      <c r="K23" s="111" t="e">
        <f>IF(OR(D23="No match",I23="No"),"N/A",IF(P23=1,"OK",IF(AB23="No qualifing runner","No prev","No")))</f>
        <v>#NAME?</v>
      </c>
      <c r="L23" s="142">
        <v>0</v>
      </c>
      <c r="M23" s="143">
        <v>0</v>
      </c>
      <c r="N23" s="144">
        <v>0</v>
      </c>
      <c r="O23" s="143">
        <v>0</v>
      </c>
      <c r="P23" s="145">
        <v>1</v>
      </c>
      <c r="Q23" s="114"/>
      <c r="R23" s="115"/>
      <c r="S23" s="116">
        <f t="shared" ref="S23:S24" si="7">MAX(P23:Q23)</f>
        <v>1</v>
      </c>
      <c r="T23" s="117">
        <f>F23-X23</f>
        <v>5.0099359999999251</v>
      </c>
      <c r="U23" s="146" t="str">
        <f t="shared" si="6"/>
        <v/>
      </c>
      <c r="V23" s="147">
        <v>291</v>
      </c>
      <c r="W23" s="147">
        <v>291</v>
      </c>
      <c r="X23" s="147">
        <v>865.3130440000001</v>
      </c>
      <c r="Y23" s="147">
        <v>5</v>
      </c>
      <c r="Z23" s="119" t="b">
        <f>D23=AA23</f>
        <v>0</v>
      </c>
      <c r="AA23" s="119" t="s">
        <v>474</v>
      </c>
      <c r="AB23" s="107" t="s">
        <v>1003</v>
      </c>
      <c r="AC23" s="120">
        <v>2</v>
      </c>
      <c r="AD23" s="120" t="s">
        <v>1004</v>
      </c>
      <c r="AE23" s="120" t="s">
        <v>47</v>
      </c>
      <c r="AF23" s="121">
        <v>1183.31929367</v>
      </c>
      <c r="AH23" s="2">
        <v>2</v>
      </c>
      <c r="AI23" s="122"/>
      <c r="AJ23" s="122"/>
      <c r="AK23" s="123"/>
      <c r="AL23" s="2" t="b">
        <f>AI23=D23</f>
        <v>0</v>
      </c>
    </row>
    <row r="24" spans="1:38">
      <c r="A24" s="2" t="s">
        <v>120</v>
      </c>
      <c r="B24" s="2">
        <v>3</v>
      </c>
      <c r="C24" s="137">
        <f>IF(J24=J22,"=1",IF(18=J23,"=2",3))</f>
        <v>3</v>
      </c>
      <c r="D24" s="138" t="s">
        <v>474</v>
      </c>
      <c r="E24" s="139" t="s">
        <v>76</v>
      </c>
      <c r="F24" s="140">
        <v>865.32356000000004</v>
      </c>
      <c r="G24" s="140">
        <v>3</v>
      </c>
      <c r="H24" s="110" t="e">
        <f>IF(I24="No","Insufficient races",IF(I24="N/A","No runner",IF(C24="=1","Joint Winner",IF(C24="=2","Joint second","OK"))))</f>
        <v>#NAME?</v>
      </c>
      <c r="I24" s="110" t="e">
        <f>IF(D24="No Match","N/A",IF(G24&lt;G$4,"No","OK"))</f>
        <v>#NAME?</v>
      </c>
      <c r="J24" s="141">
        <v>865.32356000000004</v>
      </c>
      <c r="K24" s="111" t="e">
        <f>IF(OR(D24="No match",I24="No"),"N/A",IF(P24=1,"OK",IF(AB24="No qualifing runner","No prev","No")))</f>
        <v>#NAME?</v>
      </c>
      <c r="L24" s="142">
        <v>0</v>
      </c>
      <c r="M24" s="143">
        <v>0</v>
      </c>
      <c r="N24" s="144">
        <v>0</v>
      </c>
      <c r="O24" s="143">
        <v>0</v>
      </c>
      <c r="P24" s="145">
        <v>1</v>
      </c>
      <c r="Q24" s="114"/>
      <c r="R24" s="115"/>
      <c r="S24" s="116">
        <f t="shared" si="7"/>
        <v>1</v>
      </c>
      <c r="T24" s="117">
        <f>F24-X24</f>
        <v>9.8000000000411092E-3</v>
      </c>
      <c r="U24" s="146" t="str">
        <f t="shared" si="6"/>
        <v/>
      </c>
      <c r="V24" s="147">
        <v>0</v>
      </c>
      <c r="W24" s="147">
        <v>292</v>
      </c>
      <c r="X24" s="147">
        <v>865.31376</v>
      </c>
      <c r="Y24" s="147">
        <v>3</v>
      </c>
      <c r="Z24" s="119" t="b">
        <f>D24=AA24</f>
        <v>0</v>
      </c>
      <c r="AA24" s="119" t="s">
        <v>45</v>
      </c>
      <c r="AB24" s="107" t="s">
        <v>1003</v>
      </c>
      <c r="AC24" s="120">
        <v>3</v>
      </c>
      <c r="AD24" s="120" t="s">
        <v>1005</v>
      </c>
      <c r="AE24" s="120" t="s">
        <v>38</v>
      </c>
      <c r="AF24" s="121">
        <v>1173.3178395</v>
      </c>
      <c r="AH24" s="2">
        <v>3</v>
      </c>
      <c r="AI24" s="122"/>
      <c r="AJ24" s="122"/>
      <c r="AK24" s="123"/>
      <c r="AL24" s="2" t="b">
        <f>AI24=D24</f>
        <v>0</v>
      </c>
    </row>
    <row r="25" spans="1:38">
      <c r="F25" s="124"/>
      <c r="G25" s="124"/>
      <c r="H25" s="124"/>
      <c r="I25" s="124"/>
      <c r="J25" s="148"/>
      <c r="K25" s="125"/>
      <c r="L25" s="124"/>
      <c r="M25" s="124"/>
      <c r="N25" s="124"/>
      <c r="O25" s="124"/>
      <c r="P25" s="126"/>
      <c r="Q25" s="126"/>
      <c r="R25" s="126"/>
      <c r="S25" s="126"/>
      <c r="T25" s="124"/>
      <c r="U25" s="124"/>
      <c r="V25" s="124"/>
      <c r="W25" s="124"/>
      <c r="X25" s="119"/>
      <c r="Y25" s="119"/>
      <c r="Z25" s="119"/>
      <c r="AA25" s="119"/>
      <c r="AB25" s="107"/>
      <c r="AC25" s="127"/>
      <c r="AD25" s="127"/>
      <c r="AE25" s="127"/>
      <c r="AF25" s="128"/>
      <c r="AI25" s="107"/>
      <c r="AJ25" s="107"/>
      <c r="AK25" s="119"/>
    </row>
    <row r="26" spans="1:38">
      <c r="A26" s="72"/>
      <c r="B26" s="72"/>
      <c r="C26" s="104" t="s">
        <v>1006</v>
      </c>
      <c r="D26" s="104"/>
      <c r="E26" s="104"/>
      <c r="F26" s="129"/>
      <c r="G26" s="129"/>
      <c r="H26" s="105"/>
      <c r="I26" s="105"/>
      <c r="J26" s="149"/>
      <c r="K26" s="131"/>
      <c r="L26" s="105"/>
      <c r="M26" s="105"/>
      <c r="N26" s="105"/>
      <c r="O26" s="105"/>
      <c r="P26" s="132"/>
      <c r="Q26" s="132"/>
      <c r="R26" s="132"/>
      <c r="S26" s="132"/>
      <c r="T26" s="105"/>
      <c r="U26" s="105"/>
      <c r="V26" s="105"/>
      <c r="W26" s="105"/>
      <c r="X26" s="119"/>
      <c r="Y26" s="119"/>
      <c r="Z26" s="119"/>
      <c r="AA26" s="119"/>
      <c r="AB26" s="107"/>
      <c r="AC26" s="108" t="s">
        <v>1006</v>
      </c>
      <c r="AD26" s="108"/>
      <c r="AE26" s="108"/>
      <c r="AF26" s="134"/>
      <c r="AH26" s="1" t="s">
        <v>1006</v>
      </c>
      <c r="AI26" s="135"/>
      <c r="AJ26" s="135"/>
      <c r="AK26" s="136"/>
    </row>
    <row r="27" spans="1:38">
      <c r="A27" s="2" t="s">
        <v>515</v>
      </c>
      <c r="B27" s="2">
        <v>1</v>
      </c>
      <c r="C27" s="137">
        <f>IF(J27=J28,"=1",1)</f>
        <v>1</v>
      </c>
      <c r="D27" s="138" t="s">
        <v>51</v>
      </c>
      <c r="E27" s="139" t="s">
        <v>53</v>
      </c>
      <c r="F27" s="140">
        <v>848.32042000000001</v>
      </c>
      <c r="G27" s="140">
        <v>3</v>
      </c>
      <c r="H27" s="110" t="e">
        <f>IF(I27="No","Insufficient races",IF(I27="N/A","No runner",IF(C27="=1","Joint Winner",IF(C27="=2","Joint second","OK"))))</f>
        <v>#NAME?</v>
      </c>
      <c r="I27" s="110" t="e">
        <f>IF(D27="No Match","N/A",IF(G27&lt;G$4,"No","OK"))</f>
        <v>#NAME?</v>
      </c>
      <c r="J27" s="141">
        <v>848.32042000000001</v>
      </c>
      <c r="K27" s="111" t="e">
        <f>IF(OR(D27="No match",I27="No"),"N/A",IF(P27=1,"OK",IF(AB27="No qualifing runner","No prev","No")))</f>
        <v>#NAME?</v>
      </c>
      <c r="L27" s="142">
        <v>0</v>
      </c>
      <c r="M27" s="143">
        <v>0</v>
      </c>
      <c r="N27" s="144">
        <v>0</v>
      </c>
      <c r="O27" s="143">
        <v>0</v>
      </c>
      <c r="P27" s="145">
        <v>1</v>
      </c>
      <c r="Q27" s="114"/>
      <c r="R27" s="115"/>
      <c r="S27" s="116">
        <f>MAX(P27:Q27)</f>
        <v>1</v>
      </c>
      <c r="T27" s="117">
        <f>F27-X27</f>
        <v>289.02251999999999</v>
      </c>
      <c r="U27" s="146" t="str">
        <f t="shared" ref="U27:U29" si="8">IF(V27&gt;W27,"&gt; predict by "&amp;V27-W27,"")</f>
        <v>&gt; predict by 2</v>
      </c>
      <c r="V27" s="147">
        <v>289</v>
      </c>
      <c r="W27" s="147">
        <v>287</v>
      </c>
      <c r="X27" s="147">
        <v>559.29790000000003</v>
      </c>
      <c r="Y27" s="147">
        <v>3</v>
      </c>
      <c r="Z27" s="119" t="b">
        <f>D27=AA27</f>
        <v>0</v>
      </c>
      <c r="AA27" s="119" t="s">
        <v>67</v>
      </c>
      <c r="AB27" s="107" t="s">
        <v>1007</v>
      </c>
      <c r="AC27" s="120">
        <v>1</v>
      </c>
      <c r="AD27" s="120" t="s">
        <v>1008</v>
      </c>
      <c r="AE27" s="120" t="s">
        <v>38</v>
      </c>
      <c r="AF27" s="121">
        <v>1131.305067</v>
      </c>
      <c r="AH27" s="2">
        <v>1</v>
      </c>
      <c r="AI27" s="122"/>
      <c r="AJ27" s="122"/>
      <c r="AK27" s="123"/>
      <c r="AL27" s="2" t="b">
        <f>AI27=D27</f>
        <v>0</v>
      </c>
    </row>
    <row r="28" spans="1:38">
      <c r="A28" s="2" t="s">
        <v>516</v>
      </c>
      <c r="B28" s="2">
        <v>2</v>
      </c>
      <c r="C28" s="137">
        <f>IF(J28=J27,"=1",2)</f>
        <v>2</v>
      </c>
      <c r="D28" s="138" t="s">
        <v>67</v>
      </c>
      <c r="E28" s="139" t="s">
        <v>69</v>
      </c>
      <c r="F28" s="140">
        <v>841.31485999999995</v>
      </c>
      <c r="G28" s="140">
        <v>4</v>
      </c>
      <c r="H28" s="110" t="e">
        <f>IF(I28="No","Insufficient races",IF(I28="N/A","No runner",IF(C28="=1","Joint Winner",IF(C28="=2","Joint second","OK"))))</f>
        <v>#NAME?</v>
      </c>
      <c r="I28" s="110" t="e">
        <f>IF(D28="No Match","N/A",IF(G28&lt;G$4,"No","OK"))</f>
        <v>#NAME?</v>
      </c>
      <c r="J28" s="141">
        <v>841.31485999999995</v>
      </c>
      <c r="K28" s="111" t="e">
        <f>IF(OR(D28="No match",I28="No"),"N/A",IF(P28=1,"OK",IF(AB28="No qualifing runner","No prev","No")))</f>
        <v>#NAME?</v>
      </c>
      <c r="L28" s="142">
        <v>0</v>
      </c>
      <c r="M28" s="143">
        <v>0</v>
      </c>
      <c r="N28" s="144">
        <v>0</v>
      </c>
      <c r="O28" s="143">
        <v>0</v>
      </c>
      <c r="P28" s="145">
        <v>1</v>
      </c>
      <c r="Q28" s="114"/>
      <c r="R28" s="115"/>
      <c r="S28" s="116">
        <f t="shared" ref="S28:S29" si="9">MAX(P28:Q28)</f>
        <v>1</v>
      </c>
      <c r="T28" s="117">
        <f>F28-X28</f>
        <v>13.019350000000031</v>
      </c>
      <c r="U28" s="146" t="str">
        <f t="shared" si="8"/>
        <v>&gt; predict by 3</v>
      </c>
      <c r="V28" s="147">
        <v>284</v>
      </c>
      <c r="W28" s="147">
        <v>281</v>
      </c>
      <c r="X28" s="147">
        <v>828.29550999999992</v>
      </c>
      <c r="Y28" s="147">
        <v>4</v>
      </c>
      <c r="Z28" s="119" t="b">
        <f>D28=AA28</f>
        <v>0</v>
      </c>
      <c r="AA28" s="119" t="s">
        <v>518</v>
      </c>
      <c r="AB28" s="107" t="s">
        <v>1009</v>
      </c>
      <c r="AC28" s="120">
        <v>2</v>
      </c>
      <c r="AD28" s="120" t="s">
        <v>1010</v>
      </c>
      <c r="AE28" s="120" t="s">
        <v>38</v>
      </c>
      <c r="AF28" s="121">
        <v>1116.2993660900001</v>
      </c>
      <c r="AH28" s="2">
        <v>2</v>
      </c>
      <c r="AI28" s="122"/>
      <c r="AJ28" s="122"/>
      <c r="AK28" s="123"/>
      <c r="AL28" s="2" t="b">
        <f>AI28=D28</f>
        <v>0</v>
      </c>
    </row>
    <row r="29" spans="1:38">
      <c r="A29" s="2" t="s">
        <v>517</v>
      </c>
      <c r="B29" s="2">
        <v>3</v>
      </c>
      <c r="C29" s="137">
        <f>IF(J29=J27,"=1",IF(18=J28,"=2",3))</f>
        <v>3</v>
      </c>
      <c r="D29" s="138" t="s">
        <v>518</v>
      </c>
      <c r="E29" s="139" t="s">
        <v>66</v>
      </c>
      <c r="F29" s="140">
        <v>806.30047000000002</v>
      </c>
      <c r="G29" s="140">
        <v>4</v>
      </c>
      <c r="H29" s="110" t="e">
        <f>IF(I29="No","Insufficient races",IF(I29="N/A","No runner",IF(C29="=1","Joint Winner",IF(C29="=2","Joint second","OK"))))</f>
        <v>#NAME?</v>
      </c>
      <c r="I29" s="110" t="e">
        <f>IF(D29="No Match","N/A",IF(G29&lt;G$4,"No","OK"))</f>
        <v>#NAME?</v>
      </c>
      <c r="J29" s="141">
        <v>806.30047000000002</v>
      </c>
      <c r="K29" s="111" t="e">
        <f>IF(OR(D29="No match",I29="No"),"N/A",IF(P29=1,"OK",IF(AB29="No qualifing runner","No prev","No")))</f>
        <v>#NAME?</v>
      </c>
      <c r="L29" s="142">
        <v>0</v>
      </c>
      <c r="M29" s="143">
        <v>0</v>
      </c>
      <c r="N29" s="144">
        <v>0</v>
      </c>
      <c r="O29" s="143">
        <v>0</v>
      </c>
      <c r="P29" s="145">
        <v>1</v>
      </c>
      <c r="Q29" s="114"/>
      <c r="R29" s="115"/>
      <c r="S29" s="116">
        <f t="shared" si="9"/>
        <v>1</v>
      </c>
      <c r="T29" s="117">
        <f>F29-X29</f>
        <v>1.5656000000149106E-2</v>
      </c>
      <c r="U29" s="146" t="str">
        <f t="shared" si="8"/>
        <v/>
      </c>
      <c r="V29" s="147">
        <v>0</v>
      </c>
      <c r="W29" s="147">
        <v>271</v>
      </c>
      <c r="X29" s="147">
        <v>806.28481399999987</v>
      </c>
      <c r="Y29" s="147">
        <v>4</v>
      </c>
      <c r="Z29" s="119" t="b">
        <f>D29=AA29</f>
        <v>0</v>
      </c>
      <c r="AA29" s="119" t="s">
        <v>519</v>
      </c>
      <c r="AB29" s="107" t="s">
        <v>1011</v>
      </c>
      <c r="AC29" s="120">
        <v>3</v>
      </c>
      <c r="AD29" s="120" t="s">
        <v>1012</v>
      </c>
      <c r="AE29" s="120" t="s">
        <v>38</v>
      </c>
      <c r="AF29" s="121">
        <v>1070.2830613000001</v>
      </c>
      <c r="AH29" s="2">
        <v>3</v>
      </c>
      <c r="AI29" s="122"/>
      <c r="AJ29" s="122"/>
      <c r="AK29" s="123"/>
      <c r="AL29" s="2" t="b">
        <f>AI29=D29</f>
        <v>0</v>
      </c>
    </row>
    <row r="30" spans="1:38">
      <c r="B30" s="72"/>
      <c r="F30" s="124"/>
      <c r="G30" s="124"/>
      <c r="H30" s="124"/>
      <c r="I30" s="124"/>
      <c r="J30" s="148"/>
      <c r="K30" s="125"/>
      <c r="L30" s="124"/>
      <c r="M30" s="124"/>
      <c r="N30" s="124"/>
      <c r="O30" s="124"/>
      <c r="P30" s="126"/>
      <c r="Q30" s="126"/>
      <c r="R30" s="126"/>
      <c r="S30" s="126"/>
      <c r="T30" s="124"/>
      <c r="U30" s="124"/>
      <c r="V30" s="124"/>
      <c r="W30" s="124"/>
      <c r="X30" s="119"/>
      <c r="Y30" s="119"/>
      <c r="Z30" s="119"/>
      <c r="AA30" s="119"/>
      <c r="AB30" s="107"/>
      <c r="AC30" s="127"/>
      <c r="AD30" s="127"/>
      <c r="AE30" s="127"/>
      <c r="AF30" s="128"/>
      <c r="AI30" s="107"/>
      <c r="AJ30" s="107"/>
      <c r="AK30" s="119"/>
    </row>
    <row r="31" spans="1:38">
      <c r="A31" s="72"/>
      <c r="B31" s="72"/>
      <c r="C31" s="104" t="s">
        <v>1013</v>
      </c>
      <c r="D31" s="104"/>
      <c r="E31" s="104"/>
      <c r="F31" s="129"/>
      <c r="G31" s="129"/>
      <c r="H31" s="105"/>
      <c r="I31" s="105"/>
      <c r="J31" s="149"/>
      <c r="K31" s="131"/>
      <c r="L31" s="105"/>
      <c r="M31" s="105"/>
      <c r="N31" s="105"/>
      <c r="O31" s="105"/>
      <c r="P31" s="132"/>
      <c r="Q31" s="132"/>
      <c r="R31" s="132"/>
      <c r="S31" s="132"/>
      <c r="T31" s="105"/>
      <c r="U31" s="105"/>
      <c r="V31" s="105"/>
      <c r="W31" s="105"/>
      <c r="X31" s="133"/>
      <c r="Y31" s="133"/>
      <c r="Z31" s="133"/>
      <c r="AA31" s="133"/>
      <c r="AB31" s="107"/>
      <c r="AC31" s="108" t="s">
        <v>1013</v>
      </c>
      <c r="AD31" s="108"/>
      <c r="AE31" s="108"/>
      <c r="AF31" s="134"/>
      <c r="AH31" s="2" t="s">
        <v>1013</v>
      </c>
      <c r="AI31" s="135"/>
      <c r="AJ31" s="135"/>
      <c r="AK31" s="136"/>
    </row>
    <row r="32" spans="1:38">
      <c r="A32" s="2" t="s">
        <v>44</v>
      </c>
      <c r="B32" s="2">
        <v>1</v>
      </c>
      <c r="C32" s="137">
        <f>IF(J32=J33,"=1",1)</f>
        <v>1</v>
      </c>
      <c r="D32" s="138" t="s">
        <v>42</v>
      </c>
      <c r="E32" s="139" t="s">
        <v>19</v>
      </c>
      <c r="F32" s="140">
        <v>877.32907999999998</v>
      </c>
      <c r="G32" s="140">
        <v>3</v>
      </c>
      <c r="H32" s="110" t="e">
        <f>IF(I32="No","Insufficient races",IF(I32="N/A","No runner",IF(C32="=1","Joint Winner",IF(C32="=2","Joint second","OK"))))</f>
        <v>#NAME?</v>
      </c>
      <c r="I32" s="110" t="e">
        <f>IF(D32="No Match","N/A",IF(G32&lt;G$4,"No","OK"))</f>
        <v>#NAME?</v>
      </c>
      <c r="J32" s="141">
        <v>877.32907999999998</v>
      </c>
      <c r="K32" s="111" t="e">
        <f>IF(OR(D32="No match",I32="No"),"N/A",IF(P32=1,"OK",IF(AB32="No qualifing runner","No prev","No")))</f>
        <v>#NAME?</v>
      </c>
      <c r="L32" s="142">
        <v>0</v>
      </c>
      <c r="M32" s="143">
        <v>0</v>
      </c>
      <c r="N32" s="144">
        <v>0</v>
      </c>
      <c r="O32" s="143">
        <v>0</v>
      </c>
      <c r="P32" s="145">
        <v>1</v>
      </c>
      <c r="Q32" s="114"/>
      <c r="R32" s="115"/>
      <c r="S32" s="116">
        <f>MAX(P32:Q32)</f>
        <v>1</v>
      </c>
      <c r="T32" s="117">
        <f>F32-X32</f>
        <v>292.0254799999999</v>
      </c>
      <c r="U32" s="146" t="str">
        <f t="shared" ref="U32:U34" si="10">IF(V32&gt;W32,"&gt; predict by "&amp;V32-W32,"")</f>
        <v/>
      </c>
      <c r="V32" s="147">
        <v>292</v>
      </c>
      <c r="W32" s="147">
        <v>297</v>
      </c>
      <c r="X32" s="147">
        <v>585.30360000000007</v>
      </c>
      <c r="Y32" s="147">
        <v>3</v>
      </c>
      <c r="Z32" s="119" t="b">
        <f>D32=AA32</f>
        <v>0</v>
      </c>
      <c r="AA32" s="119" t="s">
        <v>48</v>
      </c>
      <c r="AB32" s="107" t="s">
        <v>1014</v>
      </c>
      <c r="AC32" s="120">
        <v>1</v>
      </c>
      <c r="AD32" s="120" t="s">
        <v>1015</v>
      </c>
      <c r="AE32" s="120" t="s">
        <v>69</v>
      </c>
      <c r="AF32" s="121">
        <v>1163.304504</v>
      </c>
      <c r="AH32" s="2">
        <v>1</v>
      </c>
      <c r="AI32" s="122"/>
      <c r="AJ32" s="122"/>
      <c r="AK32" s="123"/>
      <c r="AL32" s="2" t="b">
        <f>AI32=D32</f>
        <v>0</v>
      </c>
    </row>
    <row r="33" spans="1:38">
      <c r="A33" s="2" t="s">
        <v>80</v>
      </c>
      <c r="B33" s="2">
        <v>2</v>
      </c>
      <c r="C33" s="137">
        <f>IF(J33=J32,"=1",2)</f>
        <v>2</v>
      </c>
      <c r="D33" s="138" t="s">
        <v>48</v>
      </c>
      <c r="E33" s="139" t="s">
        <v>50</v>
      </c>
      <c r="F33" s="140">
        <v>871.32488000000001</v>
      </c>
      <c r="G33" s="140">
        <v>4</v>
      </c>
      <c r="H33" s="110" t="e">
        <f>IF(I33="No","Insufficient races",IF(I33="N/A","No runner",IF(C33="=1","Joint Winner",IF(C33="=2","Joint second","OK"))))</f>
        <v>#NAME?</v>
      </c>
      <c r="I33" s="110" t="e">
        <f>IF(D33="No Match","N/A",IF(G33&lt;G$4,"No","OK"))</f>
        <v>#NAME?</v>
      </c>
      <c r="J33" s="141">
        <v>871.32488000000001</v>
      </c>
      <c r="K33" s="111" t="e">
        <f>IF(OR(D33="No match",I33="No"),"N/A",IF(P33=1,"OK",IF(AB33="No qualifing runner","No prev","No")))</f>
        <v>#NAME?</v>
      </c>
      <c r="L33" s="142">
        <v>0</v>
      </c>
      <c r="M33" s="143">
        <v>0</v>
      </c>
      <c r="N33" s="144">
        <v>0</v>
      </c>
      <c r="O33" s="143">
        <v>0</v>
      </c>
      <c r="P33" s="145">
        <v>1</v>
      </c>
      <c r="Q33" s="114"/>
      <c r="R33" s="115"/>
      <c r="S33" s="116">
        <f t="shared" ref="S33:S34" si="11">MAX(P33:Q33)</f>
        <v>1</v>
      </c>
      <c r="T33" s="117">
        <f>F33-X33</f>
        <v>12.02089999999987</v>
      </c>
      <c r="U33" s="146" t="str">
        <f t="shared" si="10"/>
        <v/>
      </c>
      <c r="V33" s="147">
        <v>290</v>
      </c>
      <c r="W33" s="147">
        <v>293</v>
      </c>
      <c r="X33" s="147">
        <v>859.30398000000014</v>
      </c>
      <c r="Y33" s="147">
        <v>4</v>
      </c>
      <c r="Z33" s="119" t="b">
        <f>D33=AA33</f>
        <v>0</v>
      </c>
      <c r="AA33" s="119" t="s">
        <v>82</v>
      </c>
      <c r="AB33" s="107" t="s">
        <v>1016</v>
      </c>
      <c r="AC33" s="120">
        <v>2</v>
      </c>
      <c r="AD33" s="120" t="s">
        <v>1017</v>
      </c>
      <c r="AE33" s="120" t="s">
        <v>53</v>
      </c>
      <c r="AF33" s="121">
        <v>1145.3007230000003</v>
      </c>
      <c r="AH33" s="2">
        <v>2</v>
      </c>
      <c r="AI33" s="122"/>
      <c r="AJ33" s="122"/>
      <c r="AK33" s="123"/>
      <c r="AL33" s="2" t="b">
        <f>AI33=D33</f>
        <v>0</v>
      </c>
    </row>
    <row r="34" spans="1:38">
      <c r="A34" s="2" t="s">
        <v>127</v>
      </c>
      <c r="B34" s="2">
        <v>3</v>
      </c>
      <c r="C34" s="137">
        <f>IF(J34=J32,"=1",IF(18=J33,"=2",3))</f>
        <v>3</v>
      </c>
      <c r="D34" s="138" t="s">
        <v>82</v>
      </c>
      <c r="E34" s="139" t="s">
        <v>84</v>
      </c>
      <c r="F34" s="140">
        <v>820.30601000000001</v>
      </c>
      <c r="G34" s="140">
        <v>4</v>
      </c>
      <c r="H34" s="110" t="e">
        <f>IF(I34="No","Insufficient races",IF(I34="N/A","No runner",IF(C34="=1","Joint Winner",IF(C34="=2","Joint second","OK"))))</f>
        <v>#NAME?</v>
      </c>
      <c r="I34" s="110" t="e">
        <f>IF(D34="No Match","N/A",IF(G34&lt;G$4,"No","OK"))</f>
        <v>#NAME?</v>
      </c>
      <c r="J34" s="141">
        <v>820.30601000000001</v>
      </c>
      <c r="K34" s="111" t="e">
        <f>IF(OR(D34="No match",I34="No"),"N/A",IF(P34=1,"OK",IF(AB34="No qualifing runner","No prev","No")))</f>
        <v>#NAME?</v>
      </c>
      <c r="L34" s="142">
        <v>0</v>
      </c>
      <c r="M34" s="143">
        <v>0</v>
      </c>
      <c r="N34" s="144">
        <v>0</v>
      </c>
      <c r="O34" s="143">
        <v>0</v>
      </c>
      <c r="P34" s="145">
        <v>1</v>
      </c>
      <c r="Q34" s="114"/>
      <c r="R34" s="115"/>
      <c r="S34" s="116">
        <f t="shared" si="11"/>
        <v>1</v>
      </c>
      <c r="T34" s="117">
        <f>F34-X34</f>
        <v>10.023950000000013</v>
      </c>
      <c r="U34" s="146" t="str">
        <f t="shared" si="10"/>
        <v>&gt; predict by 3</v>
      </c>
      <c r="V34" s="147">
        <v>276</v>
      </c>
      <c r="W34" s="147">
        <v>273</v>
      </c>
      <c r="X34" s="147">
        <v>810.28206</v>
      </c>
      <c r="Y34" s="147">
        <v>4</v>
      </c>
      <c r="Z34" s="119" t="b">
        <f>D34=AA34</f>
        <v>0</v>
      </c>
      <c r="AA34" s="119" t="s">
        <v>85</v>
      </c>
      <c r="AB34" s="107" t="s">
        <v>1018</v>
      </c>
      <c r="AC34" s="120">
        <v>3</v>
      </c>
      <c r="AD34" s="120" t="s">
        <v>1019</v>
      </c>
      <c r="AE34" s="120" t="s">
        <v>50</v>
      </c>
      <c r="AF34" s="121">
        <v>1129.2980869999999</v>
      </c>
      <c r="AH34" s="2">
        <v>3</v>
      </c>
      <c r="AI34" s="122"/>
      <c r="AJ34" s="122"/>
      <c r="AK34" s="123"/>
      <c r="AL34" s="2" t="b">
        <f>AI34=D34</f>
        <v>0</v>
      </c>
    </row>
    <row r="35" spans="1:38">
      <c r="F35" s="124"/>
      <c r="G35" s="124"/>
      <c r="H35" s="124"/>
      <c r="I35" s="124"/>
      <c r="J35" s="148"/>
      <c r="K35" s="125"/>
      <c r="L35" s="124"/>
      <c r="M35" s="124"/>
      <c r="N35" s="124"/>
      <c r="O35" s="124"/>
      <c r="P35" s="126"/>
      <c r="Q35" s="126"/>
      <c r="R35" s="126"/>
      <c r="S35" s="126"/>
      <c r="T35" s="124"/>
      <c r="U35" s="124"/>
      <c r="V35" s="124"/>
      <c r="W35" s="124"/>
      <c r="X35" s="119"/>
      <c r="Y35" s="119"/>
      <c r="Z35" s="119"/>
      <c r="AA35" s="119"/>
      <c r="AB35" s="107"/>
      <c r="AC35" s="127"/>
      <c r="AD35" s="127"/>
      <c r="AE35" s="127"/>
      <c r="AF35" s="128"/>
      <c r="AI35" s="107"/>
      <c r="AJ35" s="107"/>
      <c r="AK35" s="119"/>
    </row>
    <row r="36" spans="1:38">
      <c r="A36" s="72"/>
      <c r="B36" s="72"/>
      <c r="C36" s="104" t="s">
        <v>1020</v>
      </c>
      <c r="D36" s="104"/>
      <c r="E36" s="104"/>
      <c r="F36" s="129"/>
      <c r="G36" s="129"/>
      <c r="H36" s="105"/>
      <c r="I36" s="105"/>
      <c r="J36" s="149"/>
      <c r="K36" s="131"/>
      <c r="L36" s="105"/>
      <c r="M36" s="105"/>
      <c r="N36" s="105"/>
      <c r="O36" s="105"/>
      <c r="P36" s="132"/>
      <c r="Q36" s="132"/>
      <c r="R36" s="132"/>
      <c r="S36" s="132"/>
      <c r="T36" s="105"/>
      <c r="U36" s="105"/>
      <c r="V36" s="105"/>
      <c r="W36" s="105"/>
      <c r="X36" s="119"/>
      <c r="Y36" s="119"/>
      <c r="Z36" s="119"/>
      <c r="AA36" s="119"/>
      <c r="AB36" s="107"/>
      <c r="AC36" s="108" t="s">
        <v>1020</v>
      </c>
      <c r="AD36" s="108"/>
      <c r="AE36" s="108"/>
      <c r="AF36" s="134"/>
      <c r="AH36" s="1" t="s">
        <v>1020</v>
      </c>
      <c r="AI36" s="135"/>
      <c r="AJ36" s="135"/>
      <c r="AK36" s="136"/>
    </row>
    <row r="37" spans="1:38">
      <c r="A37" s="2" t="s">
        <v>599</v>
      </c>
      <c r="B37" s="2">
        <v>1</v>
      </c>
      <c r="C37" s="137">
        <f>IF(J37=J38,"=1",1)</f>
        <v>1</v>
      </c>
      <c r="D37" s="138" t="s">
        <v>91</v>
      </c>
      <c r="E37" s="139" t="s">
        <v>93</v>
      </c>
      <c r="F37" s="140">
        <v>825.30813000000001</v>
      </c>
      <c r="G37" s="140">
        <v>4</v>
      </c>
      <c r="H37" s="110" t="e">
        <f>IF(I37="No","Insufficient races",IF(I37="N/A","No runner",IF(C37="=1","Joint Winner",IF(C37="=2","Joint second","OK"))))</f>
        <v>#NAME?</v>
      </c>
      <c r="I37" s="110" t="e">
        <f>IF(D37="No Match","N/A",IF(G37&lt;G$4,"No","OK"))</f>
        <v>#NAME?</v>
      </c>
      <c r="J37" s="141">
        <v>825.30813000000001</v>
      </c>
      <c r="K37" s="111" t="e">
        <f>IF(OR(D37="No match",I37="No"),"N/A",IF(P37=1,"OK",IF(AB37="No qualifing runner","No prev","No")))</f>
        <v>#NAME?</v>
      </c>
      <c r="L37" s="142">
        <v>0</v>
      </c>
      <c r="M37" s="143">
        <v>0</v>
      </c>
      <c r="N37" s="144">
        <v>0</v>
      </c>
      <c r="O37" s="143">
        <v>0</v>
      </c>
      <c r="P37" s="145">
        <v>1</v>
      </c>
      <c r="Q37" s="114"/>
      <c r="R37" s="115"/>
      <c r="S37" s="116">
        <f>MAX(P37:Q37)</f>
        <v>1</v>
      </c>
      <c r="T37" s="117">
        <f>F37-X37</f>
        <v>15.028739999999971</v>
      </c>
      <c r="U37" s="146" t="str">
        <f t="shared" ref="U37:U39" si="12">IF(V37&gt;W37,"&gt; predict by "&amp;V37-W37,"")</f>
        <v/>
      </c>
      <c r="V37" s="147">
        <v>274</v>
      </c>
      <c r="W37" s="147">
        <v>278</v>
      </c>
      <c r="X37" s="147">
        <v>810.27939000000003</v>
      </c>
      <c r="Y37" s="147">
        <v>4</v>
      </c>
      <c r="Z37" s="119" t="b">
        <f>D37=AA37</f>
        <v>1</v>
      </c>
      <c r="AA37" s="119" t="s">
        <v>91</v>
      </c>
      <c r="AB37" s="107" t="s">
        <v>91</v>
      </c>
      <c r="AC37" s="120">
        <v>1</v>
      </c>
      <c r="AD37" s="120" t="s">
        <v>1021</v>
      </c>
      <c r="AE37" s="120" t="s">
        <v>93</v>
      </c>
      <c r="AF37" s="121">
        <v>1109.2880580000001</v>
      </c>
      <c r="AH37" s="2">
        <v>1</v>
      </c>
      <c r="AI37" s="122"/>
      <c r="AJ37" s="122"/>
      <c r="AK37" s="123"/>
      <c r="AL37" s="2" t="b">
        <f>AI37=D37</f>
        <v>0</v>
      </c>
    </row>
    <row r="38" spans="1:38">
      <c r="A38" s="2" t="s">
        <v>600</v>
      </c>
      <c r="B38" s="2">
        <v>2</v>
      </c>
      <c r="C38" s="137">
        <f>IF(J38=J37,"=1",2)</f>
        <v>2</v>
      </c>
      <c r="D38" s="138" t="s">
        <v>78</v>
      </c>
      <c r="E38" s="139" t="s">
        <v>50</v>
      </c>
      <c r="F38" s="140">
        <v>799.30705999999998</v>
      </c>
      <c r="G38" s="140">
        <v>4</v>
      </c>
      <c r="H38" s="110" t="e">
        <f>IF(I38="No","Insufficient races",IF(I38="N/A","No runner",IF(C38="=1","Joint Winner",IF(C38="=2","Joint second","OK"))))</f>
        <v>#NAME?</v>
      </c>
      <c r="I38" s="110" t="e">
        <f>IF(D38="No Match","N/A",IF(G38&lt;G$4,"No","OK"))</f>
        <v>#NAME?</v>
      </c>
      <c r="J38" s="141">
        <v>799.30705999999998</v>
      </c>
      <c r="K38" s="111" t="e">
        <f>IF(OR(D38="No match",I38="No"),"N/A",IF(P38=1,"OK",IF(AB38="No qualifing runner","No prev","No")))</f>
        <v>#NAME?</v>
      </c>
      <c r="L38" s="142">
        <v>0</v>
      </c>
      <c r="M38" s="143">
        <v>0</v>
      </c>
      <c r="N38" s="144">
        <v>0</v>
      </c>
      <c r="O38" s="143">
        <v>0</v>
      </c>
      <c r="P38" s="145">
        <v>1</v>
      </c>
      <c r="Q38" s="114"/>
      <c r="R38" s="115"/>
      <c r="S38" s="116">
        <f t="shared" ref="S38:S39" si="13">MAX(P38:Q38)</f>
        <v>1</v>
      </c>
      <c r="T38" s="117">
        <f>F38-X38</f>
        <v>28.042559999999867</v>
      </c>
      <c r="U38" s="146" t="str">
        <f t="shared" si="12"/>
        <v>&gt; predict by 13</v>
      </c>
      <c r="V38" s="147">
        <v>278</v>
      </c>
      <c r="W38" s="147">
        <v>265</v>
      </c>
      <c r="X38" s="147">
        <v>771.26450000000011</v>
      </c>
      <c r="Y38" s="147">
        <v>4</v>
      </c>
      <c r="Z38" s="119" t="b">
        <f>D38=AA38</f>
        <v>1</v>
      </c>
      <c r="AA38" s="119" t="s">
        <v>78</v>
      </c>
      <c r="AB38" s="107" t="s">
        <v>1022</v>
      </c>
      <c r="AC38" s="120">
        <v>2</v>
      </c>
      <c r="AD38" s="120" t="s">
        <v>1023</v>
      </c>
      <c r="AE38" s="120" t="s">
        <v>50</v>
      </c>
      <c r="AF38" s="121">
        <v>1106.2841119999998</v>
      </c>
      <c r="AH38" s="2">
        <v>2</v>
      </c>
      <c r="AI38" s="122"/>
      <c r="AJ38" s="122"/>
      <c r="AK38" s="123"/>
      <c r="AL38" s="2" t="b">
        <f>AI38=D38</f>
        <v>0</v>
      </c>
    </row>
    <row r="39" spans="1:38">
      <c r="A39" s="2" t="s">
        <v>601</v>
      </c>
      <c r="B39" s="2">
        <v>3</v>
      </c>
      <c r="C39" s="137">
        <f>IF(J39=J37,"=1",IF(18=J38,"=2",3))</f>
        <v>3</v>
      </c>
      <c r="D39" s="138" t="s">
        <v>99</v>
      </c>
      <c r="E39" s="139" t="s">
        <v>88</v>
      </c>
      <c r="F39" s="140">
        <v>787.29749000000004</v>
      </c>
      <c r="G39" s="140">
        <v>4</v>
      </c>
      <c r="H39" s="110" t="e">
        <f>IF(I39="No","Insufficient races",IF(I39="N/A","No runner",IF(C39="=1","Joint Winner",IF(C39="=2","Joint second","OK"))))</f>
        <v>#NAME?</v>
      </c>
      <c r="I39" s="110" t="e">
        <f>IF(D39="No Match","N/A",IF(G39&lt;G$4,"No","OK"))</f>
        <v>#NAME?</v>
      </c>
      <c r="J39" s="141">
        <v>787.29749000000004</v>
      </c>
      <c r="K39" s="111" t="e">
        <f>IF(OR(D39="No match",I39="No"),"N/A",IF(P39=1,"OK",IF(AB39="No qualifing runner","No prev","No")))</f>
        <v>#NAME?</v>
      </c>
      <c r="L39" s="142">
        <v>0</v>
      </c>
      <c r="M39" s="143">
        <v>0</v>
      </c>
      <c r="N39" s="144">
        <v>0</v>
      </c>
      <c r="O39" s="143">
        <v>0</v>
      </c>
      <c r="P39" s="145">
        <v>1</v>
      </c>
      <c r="Q39" s="114"/>
      <c r="R39" s="115"/>
      <c r="S39" s="116">
        <f t="shared" si="13"/>
        <v>1</v>
      </c>
      <c r="T39" s="117">
        <f>F39-X39</f>
        <v>32.038919999999962</v>
      </c>
      <c r="U39" s="146" t="str">
        <f t="shared" si="12"/>
        <v>&gt; predict by 10</v>
      </c>
      <c r="V39" s="147">
        <v>269</v>
      </c>
      <c r="W39" s="147">
        <v>259</v>
      </c>
      <c r="X39" s="147">
        <v>755.25857000000008</v>
      </c>
      <c r="Y39" s="147">
        <v>4</v>
      </c>
      <c r="Z39" s="119" t="b">
        <f>D39=AA39</f>
        <v>1</v>
      </c>
      <c r="AA39" s="119" t="s">
        <v>99</v>
      </c>
      <c r="AB39" s="107" t="s">
        <v>1022</v>
      </c>
      <c r="AC39" s="120">
        <v>3</v>
      </c>
      <c r="AD39" s="120" t="s">
        <v>1024</v>
      </c>
      <c r="AE39" s="120" t="s">
        <v>19</v>
      </c>
      <c r="AF39" s="121">
        <v>1038.2708376999997</v>
      </c>
      <c r="AH39" s="2">
        <v>3</v>
      </c>
      <c r="AI39" s="122"/>
      <c r="AJ39" s="122"/>
      <c r="AK39" s="123"/>
      <c r="AL39" s="2" t="b">
        <f>AI39=D39</f>
        <v>0</v>
      </c>
    </row>
    <row r="40" spans="1:38">
      <c r="A40" s="72"/>
      <c r="F40" s="124"/>
      <c r="G40" s="124"/>
      <c r="H40" s="124"/>
      <c r="I40" s="124"/>
      <c r="J40" s="148"/>
      <c r="K40" s="125"/>
      <c r="L40" s="124"/>
      <c r="M40" s="124"/>
      <c r="N40" s="124"/>
      <c r="O40" s="124"/>
      <c r="P40" s="126"/>
      <c r="Q40" s="126"/>
      <c r="R40" s="126"/>
      <c r="S40" s="126"/>
      <c r="T40" s="124"/>
      <c r="U40" s="124"/>
      <c r="V40" s="124"/>
      <c r="W40" s="124"/>
      <c r="X40" s="119"/>
      <c r="Y40" s="119"/>
      <c r="Z40" s="119"/>
      <c r="AA40" s="119"/>
      <c r="AB40" s="107"/>
      <c r="AC40" s="127"/>
      <c r="AD40" s="127"/>
      <c r="AE40" s="127"/>
      <c r="AF40" s="128"/>
      <c r="AI40" s="107"/>
      <c r="AJ40" s="107"/>
      <c r="AK40" s="119"/>
    </row>
    <row r="41" spans="1:38">
      <c r="A41" s="72"/>
      <c r="B41" s="72"/>
      <c r="C41" s="104" t="s">
        <v>1025</v>
      </c>
      <c r="D41" s="104"/>
      <c r="E41" s="104"/>
      <c r="F41" s="129"/>
      <c r="G41" s="129"/>
      <c r="H41" s="105"/>
      <c r="I41" s="105"/>
      <c r="J41" s="149"/>
      <c r="K41" s="131"/>
      <c r="L41" s="105"/>
      <c r="M41" s="105"/>
      <c r="N41" s="105"/>
      <c r="O41" s="105"/>
      <c r="P41" s="132"/>
      <c r="Q41" s="132"/>
      <c r="R41" s="132"/>
      <c r="S41" s="132"/>
      <c r="T41" s="105"/>
      <c r="U41" s="105"/>
      <c r="V41" s="105"/>
      <c r="W41" s="105"/>
      <c r="X41" s="133"/>
      <c r="Y41" s="133"/>
      <c r="Z41" s="133"/>
      <c r="AA41" s="133"/>
      <c r="AB41" s="107"/>
      <c r="AC41" s="108" t="s">
        <v>1025</v>
      </c>
      <c r="AD41" s="108"/>
      <c r="AE41" s="108"/>
      <c r="AF41" s="134"/>
      <c r="AH41" s="2" t="s">
        <v>1025</v>
      </c>
      <c r="AI41" s="135"/>
      <c r="AJ41" s="135"/>
      <c r="AK41" s="136"/>
    </row>
    <row r="42" spans="1:38">
      <c r="A42" s="2" t="s">
        <v>106</v>
      </c>
      <c r="B42" s="2">
        <v>1</v>
      </c>
      <c r="C42" s="137">
        <f>IF(J42=J43,"=1",1)</f>
        <v>1</v>
      </c>
      <c r="D42" s="138" t="s">
        <v>645</v>
      </c>
      <c r="E42" s="139" t="s">
        <v>50</v>
      </c>
      <c r="F42" s="140">
        <v>815.30884000000003</v>
      </c>
      <c r="G42" s="140">
        <v>3</v>
      </c>
      <c r="H42" s="110" t="e">
        <f>IF(I42="No","Insufficient races",IF(I42="N/A","No runner",IF(C42="=1","Joint Winner",IF(C42="=2","Joint second","OK"))))</f>
        <v>#NAME?</v>
      </c>
      <c r="I42" s="110" t="e">
        <f>IF(D42="No Match","N/A",IF(G42&lt;G$4,"No","OK"))</f>
        <v>#NAME?</v>
      </c>
      <c r="J42" s="141">
        <v>815.30884000000003</v>
      </c>
      <c r="K42" s="111" t="e">
        <f>IF(OR(D42="No match",I42="No"),"N/A",IF(P42=1,"OK",IF(AB42="No qualifing runner","No prev","No")))</f>
        <v>#NAME?</v>
      </c>
      <c r="L42" s="142">
        <v>0</v>
      </c>
      <c r="M42" s="143">
        <v>0</v>
      </c>
      <c r="N42" s="144">
        <v>0</v>
      </c>
      <c r="O42" s="143">
        <v>0</v>
      </c>
      <c r="P42" s="145">
        <v>1</v>
      </c>
      <c r="Q42" s="114"/>
      <c r="R42" s="115"/>
      <c r="S42" s="116">
        <f>MAX(P42:Q42)</f>
        <v>1</v>
      </c>
      <c r="T42" s="117">
        <f>F42-X42</f>
        <v>3.520000000003165E-2</v>
      </c>
      <c r="U42" s="146" t="str">
        <f t="shared" ref="U42:U44" si="14">IF(V42&gt;W42,"&gt; predict by "&amp;V42-W42,"")</f>
        <v/>
      </c>
      <c r="V42" s="147">
        <v>0</v>
      </c>
      <c r="W42" s="147">
        <v>279</v>
      </c>
      <c r="X42" s="147">
        <v>815.27364</v>
      </c>
      <c r="Y42" s="147">
        <v>3</v>
      </c>
      <c r="Z42" s="119" t="b">
        <f>D42=AA42</f>
        <v>1</v>
      </c>
      <c r="AA42" s="119" t="s">
        <v>645</v>
      </c>
      <c r="AB42" s="107" t="s">
        <v>645</v>
      </c>
      <c r="AC42" s="120">
        <v>1</v>
      </c>
      <c r="AD42" s="120" t="s">
        <v>1026</v>
      </c>
      <c r="AE42" s="120" t="s">
        <v>61</v>
      </c>
      <c r="AF42" s="121">
        <v>1005.2610430000001</v>
      </c>
      <c r="AH42" s="2">
        <v>1</v>
      </c>
      <c r="AI42" s="122"/>
      <c r="AJ42" s="122"/>
      <c r="AK42" s="123"/>
      <c r="AL42" s="2" t="b">
        <f>AI42=D42</f>
        <v>0</v>
      </c>
    </row>
    <row r="43" spans="1:38">
      <c r="A43" s="2" t="s">
        <v>149</v>
      </c>
      <c r="B43" s="2">
        <v>2</v>
      </c>
      <c r="C43" s="137">
        <f>IF(J43=J42,"=1",2)</f>
        <v>2</v>
      </c>
      <c r="D43" s="138" t="s">
        <v>104</v>
      </c>
      <c r="E43" s="139" t="s">
        <v>88</v>
      </c>
      <c r="F43" s="140">
        <v>790.29499999999996</v>
      </c>
      <c r="G43" s="140">
        <v>5</v>
      </c>
      <c r="H43" s="110" t="e">
        <f>IF(I43="No","Insufficient races",IF(I43="N/A","No runner",IF(C43="=1","Joint Winner",IF(C43="=2","Joint second","OK"))))</f>
        <v>#NAME?</v>
      </c>
      <c r="I43" s="110" t="e">
        <f>IF(D43="No Match","N/A",IF(G43&lt;G$4,"No","OK"))</f>
        <v>#NAME?</v>
      </c>
      <c r="J43" s="141">
        <v>790.29499999999996</v>
      </c>
      <c r="K43" s="111" t="e">
        <f>IF(OR(D43="No match",I43="No"),"N/A",IF(P43=1,"OK",IF(AB43="No qualifing runner","No prev","No")))</f>
        <v>#NAME?</v>
      </c>
      <c r="L43" s="142">
        <v>0</v>
      </c>
      <c r="M43" s="143">
        <v>0</v>
      </c>
      <c r="N43" s="144">
        <v>0</v>
      </c>
      <c r="O43" s="143">
        <v>0</v>
      </c>
      <c r="P43" s="145">
        <v>1</v>
      </c>
      <c r="Q43" s="114"/>
      <c r="R43" s="115"/>
      <c r="S43" s="116">
        <f t="shared" ref="S43:S44" si="15">MAX(P43:Q43)</f>
        <v>1</v>
      </c>
      <c r="T43" s="117">
        <f>F43-X43</f>
        <v>23.037632000000031</v>
      </c>
      <c r="U43" s="146" t="str">
        <f t="shared" si="14"/>
        <v>&gt; predict by 2</v>
      </c>
      <c r="V43" s="147">
        <v>266</v>
      </c>
      <c r="W43" s="147">
        <v>264</v>
      </c>
      <c r="X43" s="147">
        <v>767.25736799999993</v>
      </c>
      <c r="Y43" s="147">
        <v>5</v>
      </c>
      <c r="Z43" s="119" t="b">
        <f>D43=AA43</f>
        <v>1</v>
      </c>
      <c r="AA43" s="119" t="s">
        <v>104</v>
      </c>
      <c r="AB43" s="107" t="s">
        <v>1027</v>
      </c>
      <c r="AC43" s="120">
        <v>2</v>
      </c>
      <c r="AD43" s="120" t="s">
        <v>1028</v>
      </c>
      <c r="AE43" s="120" t="s">
        <v>38</v>
      </c>
      <c r="AF43" s="121">
        <v>994.25131034999993</v>
      </c>
      <c r="AH43" s="2">
        <v>2</v>
      </c>
      <c r="AI43" s="122"/>
      <c r="AJ43" s="122"/>
      <c r="AK43" s="123"/>
      <c r="AL43" s="2" t="b">
        <f>AI43=D43</f>
        <v>0</v>
      </c>
    </row>
    <row r="44" spans="1:38">
      <c r="A44" s="2" t="s">
        <v>646</v>
      </c>
      <c r="B44" s="2">
        <v>3</v>
      </c>
      <c r="C44" s="137">
        <f>IF(J44=J42,"=1",IF(18=J43,"=2",3))</f>
        <v>3</v>
      </c>
      <c r="D44" s="138" t="s">
        <v>115</v>
      </c>
      <c r="E44" s="139" t="s">
        <v>61</v>
      </c>
      <c r="F44" s="140">
        <v>777.29477999999995</v>
      </c>
      <c r="G44" s="140">
        <v>4</v>
      </c>
      <c r="H44" s="110" t="e">
        <f>IF(I44="No","Insufficient races",IF(I44="N/A","No runner",IF(C44="=1","Joint Winner",IF(C44="=2","Joint second","OK"))))</f>
        <v>#NAME?</v>
      </c>
      <c r="I44" s="110" t="e">
        <f>IF(D44="No Match","N/A",IF(G44&lt;G$4,"No","OK"))</f>
        <v>#NAME?</v>
      </c>
      <c r="J44" s="141">
        <v>777.29477999999995</v>
      </c>
      <c r="K44" s="111" t="e">
        <f>IF(OR(D44="No match",I44="No"),"N/A",IF(P44=1,"OK",IF(AB44="No qualifing runner","No prev","No")))</f>
        <v>#NAME?</v>
      </c>
      <c r="L44" s="142">
        <v>0</v>
      </c>
      <c r="M44" s="143">
        <v>0</v>
      </c>
      <c r="N44" s="144">
        <v>0</v>
      </c>
      <c r="O44" s="143">
        <v>0</v>
      </c>
      <c r="P44" s="145">
        <v>1</v>
      </c>
      <c r="Q44" s="114"/>
      <c r="R44" s="115"/>
      <c r="S44" s="116">
        <f t="shared" si="15"/>
        <v>1</v>
      </c>
      <c r="T44" s="117">
        <f>F44-X44</f>
        <v>23.036979999999971</v>
      </c>
      <c r="U44" s="146" t="str">
        <f t="shared" si="14"/>
        <v/>
      </c>
      <c r="V44" s="147">
        <v>263</v>
      </c>
      <c r="W44" s="147">
        <v>266</v>
      </c>
      <c r="X44" s="147">
        <v>754.25779999999997</v>
      </c>
      <c r="Y44" s="147">
        <v>4</v>
      </c>
      <c r="Z44" s="119" t="b">
        <f>D44=AA44</f>
        <v>1</v>
      </c>
      <c r="AA44" s="119" t="s">
        <v>115</v>
      </c>
      <c r="AB44" s="107" t="s">
        <v>1027</v>
      </c>
      <c r="AC44" s="120">
        <v>3</v>
      </c>
      <c r="AD44" s="120" t="s">
        <v>1029</v>
      </c>
      <c r="AE44" s="120" t="s">
        <v>88</v>
      </c>
      <c r="AF44" s="121">
        <v>931.24708329999999</v>
      </c>
      <c r="AH44" s="2">
        <v>3</v>
      </c>
      <c r="AI44" s="122"/>
      <c r="AJ44" s="122"/>
      <c r="AK44" s="123"/>
      <c r="AL44" s="2" t="b">
        <f>AI44=D44</f>
        <v>0</v>
      </c>
    </row>
    <row r="45" spans="1:38">
      <c r="F45" s="124"/>
      <c r="G45" s="124"/>
      <c r="H45" s="124"/>
      <c r="I45" s="124"/>
      <c r="J45" s="148"/>
      <c r="K45" s="125"/>
      <c r="L45" s="124"/>
      <c r="M45" s="124"/>
      <c r="N45" s="124"/>
      <c r="O45" s="124"/>
      <c r="P45" s="126"/>
      <c r="Q45" s="126"/>
      <c r="R45" s="126"/>
      <c r="S45" s="126"/>
      <c r="T45" s="124"/>
      <c r="U45" s="124"/>
      <c r="V45" s="124"/>
      <c r="W45" s="124"/>
      <c r="X45" s="119"/>
      <c r="Y45" s="119"/>
      <c r="Z45" s="119"/>
      <c r="AA45" s="119"/>
      <c r="AB45" s="107"/>
      <c r="AC45" s="127"/>
      <c r="AD45" s="127"/>
      <c r="AE45" s="127"/>
      <c r="AF45" s="128"/>
      <c r="AI45" s="107"/>
      <c r="AJ45" s="107"/>
      <c r="AK45" s="119"/>
    </row>
    <row r="46" spans="1:38">
      <c r="A46" s="72"/>
      <c r="B46" s="72"/>
      <c r="C46" s="104" t="s">
        <v>1030</v>
      </c>
      <c r="D46" s="104"/>
      <c r="E46" s="104"/>
      <c r="F46" s="129"/>
      <c r="G46" s="129"/>
      <c r="H46" s="105"/>
      <c r="I46" s="105"/>
      <c r="J46" s="149"/>
      <c r="K46" s="131"/>
      <c r="L46" s="105"/>
      <c r="M46" s="105"/>
      <c r="N46" s="105"/>
      <c r="O46" s="105"/>
      <c r="P46" s="132"/>
      <c r="Q46" s="132"/>
      <c r="R46" s="132"/>
      <c r="S46" s="132"/>
      <c r="T46" s="105"/>
      <c r="U46" s="105"/>
      <c r="V46" s="105"/>
      <c r="W46" s="105"/>
      <c r="X46" s="133"/>
      <c r="Y46" s="133"/>
      <c r="Z46" s="133"/>
      <c r="AA46" s="133"/>
      <c r="AB46" s="107"/>
      <c r="AC46" s="108" t="s">
        <v>1030</v>
      </c>
      <c r="AD46" s="108"/>
      <c r="AE46" s="108"/>
      <c r="AF46" s="134"/>
      <c r="AH46" s="2" t="s">
        <v>1030</v>
      </c>
      <c r="AI46" s="135"/>
      <c r="AJ46" s="135"/>
      <c r="AK46" s="136"/>
    </row>
    <row r="47" spans="1:38">
      <c r="A47" s="2" t="s">
        <v>672</v>
      </c>
      <c r="B47" s="2">
        <v>1</v>
      </c>
      <c r="C47" s="137">
        <f>IF(J47=J48,"=1",1)</f>
        <v>1</v>
      </c>
      <c r="D47" s="138" t="s">
        <v>183</v>
      </c>
      <c r="E47" s="139" t="s">
        <v>66</v>
      </c>
      <c r="F47" s="140">
        <v>687.25806</v>
      </c>
      <c r="G47" s="140">
        <v>5</v>
      </c>
      <c r="H47" s="110" t="e">
        <f>IF(I47="No","Insufficient races",IF(I47="N/A","No runner",IF(C47="=1","Joint Winner",IF(C47="=2","Joint second","OK"))))</f>
        <v>#NAME?</v>
      </c>
      <c r="I47" s="110" t="e">
        <f>IF(D47="No Match","N/A",IF(G47&lt;G$4,"No","OK"))</f>
        <v>#NAME?</v>
      </c>
      <c r="J47" s="141">
        <v>687.25806</v>
      </c>
      <c r="K47" s="111" t="e">
        <f>IF(OR(D47="No match",I47="No"),"N/A",IF(P47=1,"OK",IF(AB47="No qualifing runner","No prev","No")))</f>
        <v>#NAME?</v>
      </c>
      <c r="L47" s="142">
        <v>0</v>
      </c>
      <c r="M47" s="143">
        <v>0</v>
      </c>
      <c r="N47" s="144">
        <v>0</v>
      </c>
      <c r="O47" s="143">
        <v>0</v>
      </c>
      <c r="P47" s="145">
        <v>1</v>
      </c>
      <c r="Q47" s="114"/>
      <c r="R47" s="115"/>
      <c r="S47" s="116">
        <f>MAX(P47:Q47)</f>
        <v>1</v>
      </c>
      <c r="T47" s="117">
        <f>F47-X47</f>
        <v>35.0401710000001</v>
      </c>
      <c r="U47" s="146" t="str">
        <f t="shared" ref="U47:U49" si="16">IF(V47&gt;W47,"&gt; predict by "&amp;V47-W47,"")</f>
        <v/>
      </c>
      <c r="V47" s="147">
        <v>226</v>
      </c>
      <c r="W47" s="147">
        <v>233</v>
      </c>
      <c r="X47" s="147">
        <v>652.2178889999999</v>
      </c>
      <c r="Y47" s="147">
        <v>5</v>
      </c>
      <c r="Z47" s="119" t="b">
        <f>D47=AA47</f>
        <v>1</v>
      </c>
      <c r="AA47" s="119" t="s">
        <v>183</v>
      </c>
      <c r="AB47" s="107" t="s">
        <v>183</v>
      </c>
      <c r="AC47" s="120">
        <v>1</v>
      </c>
      <c r="AD47" s="120" t="s">
        <v>1031</v>
      </c>
      <c r="AE47" s="120" t="s">
        <v>50</v>
      </c>
      <c r="AF47" s="121">
        <v>911.22593999999992</v>
      </c>
      <c r="AH47" s="2">
        <v>1</v>
      </c>
      <c r="AI47" s="122"/>
      <c r="AJ47" s="122"/>
      <c r="AK47" s="123"/>
      <c r="AL47" s="2" t="b">
        <f>AI47=D47</f>
        <v>0</v>
      </c>
    </row>
    <row r="48" spans="1:38">
      <c r="A48" s="2" t="s">
        <v>673</v>
      </c>
      <c r="B48" s="2">
        <v>2</v>
      </c>
      <c r="C48" s="137">
        <f>IF(J48=J47,"=1",2)</f>
        <v>2</v>
      </c>
      <c r="D48" s="138" t="s">
        <v>155</v>
      </c>
      <c r="E48" s="139" t="s">
        <v>47</v>
      </c>
      <c r="F48" s="140">
        <v>651.26625000000001</v>
      </c>
      <c r="G48" s="140">
        <v>5</v>
      </c>
      <c r="H48" s="110" t="e">
        <f>IF(I48="No","Insufficient races",IF(I48="N/A","No runner",IF(C48="=1","Joint Winner",IF(C48="=2","Joint second","OK"))))</f>
        <v>#NAME?</v>
      </c>
      <c r="I48" s="110" t="e">
        <f>IF(D48="No Match","N/A",IF(G48&lt;G$4,"No","OK"))</f>
        <v>#NAME?</v>
      </c>
      <c r="J48" s="141">
        <v>651.26625000000001</v>
      </c>
      <c r="K48" s="111" t="e">
        <f>IF(OR(D48="No match",I48="No"),"N/A",IF(P48=1,"OK",IF(AB48="No qualifing runner","No prev","No")))</f>
        <v>#NAME?</v>
      </c>
      <c r="L48" s="142">
        <v>0</v>
      </c>
      <c r="M48" s="143">
        <v>0</v>
      </c>
      <c r="N48" s="144">
        <v>0</v>
      </c>
      <c r="O48" s="143">
        <v>0</v>
      </c>
      <c r="P48" s="145">
        <v>1</v>
      </c>
      <c r="Q48" s="114"/>
      <c r="R48" s="115"/>
      <c r="S48" s="116">
        <f t="shared" ref="S48:S49" si="17">MAX(P48:Q48)</f>
        <v>1</v>
      </c>
      <c r="T48" s="117">
        <f>F48-X48</f>
        <v>75.072043000000122</v>
      </c>
      <c r="U48" s="146" t="str">
        <f t="shared" si="16"/>
        <v>&gt; predict by 30</v>
      </c>
      <c r="V48" s="147">
        <v>243</v>
      </c>
      <c r="W48" s="147">
        <v>213</v>
      </c>
      <c r="X48" s="147">
        <v>576.19420699999989</v>
      </c>
      <c r="Y48" s="147">
        <v>5</v>
      </c>
      <c r="Z48" s="119" t="b">
        <f>D48=AA48</f>
        <v>1</v>
      </c>
      <c r="AA48" s="119" t="s">
        <v>155</v>
      </c>
      <c r="AB48" s="107" t="s">
        <v>1032</v>
      </c>
      <c r="AC48" s="120">
        <v>2</v>
      </c>
      <c r="AD48" s="120" t="s">
        <v>1033</v>
      </c>
      <c r="AE48" s="120" t="s">
        <v>38</v>
      </c>
      <c r="AF48" s="121">
        <v>715.20073489999993</v>
      </c>
      <c r="AH48" s="2">
        <v>2</v>
      </c>
      <c r="AI48" s="122"/>
      <c r="AJ48" s="122"/>
      <c r="AK48" s="123"/>
      <c r="AL48" s="2" t="b">
        <f>AI48=D48</f>
        <v>0</v>
      </c>
    </row>
    <row r="49" spans="1:38">
      <c r="A49" s="2" t="s">
        <v>674</v>
      </c>
      <c r="B49" s="2">
        <v>3</v>
      </c>
      <c r="C49" s="137">
        <f>IF(J49=J47,"=1",IF(18=J48,"=2",3))</f>
        <v>3</v>
      </c>
      <c r="D49" s="138" t="s">
        <v>178</v>
      </c>
      <c r="E49" s="139" t="s">
        <v>53</v>
      </c>
      <c r="F49" s="140">
        <v>630.25055999999995</v>
      </c>
      <c r="G49" s="140">
        <v>5</v>
      </c>
      <c r="H49" s="110" t="e">
        <f>IF(I49="No","Insufficient races",IF(I49="N/A","No runner",IF(C49="=1","Joint Winner",IF(C49="=2","Joint second","OK"))))</f>
        <v>#NAME?</v>
      </c>
      <c r="I49" s="110" t="e">
        <f>IF(D49="No Match","N/A",IF(G49&lt;G$4,"No","OK"))</f>
        <v>#NAME?</v>
      </c>
      <c r="J49" s="141">
        <v>630.25055999999995</v>
      </c>
      <c r="K49" s="111" t="e">
        <f>IF(OR(D49="No match",I49="No"),"N/A",IF(P49=1,"OK",IF(AB49="No qualifing runner","No prev","No")))</f>
        <v>#NAME?</v>
      </c>
      <c r="L49" s="142">
        <v>0</v>
      </c>
      <c r="M49" s="143">
        <v>0</v>
      </c>
      <c r="N49" s="144">
        <v>0</v>
      </c>
      <c r="O49" s="143">
        <v>0</v>
      </c>
      <c r="P49" s="145">
        <v>1</v>
      </c>
      <c r="Q49" s="114"/>
      <c r="R49" s="115"/>
      <c r="S49" s="116">
        <f t="shared" si="17"/>
        <v>1</v>
      </c>
      <c r="T49" s="117">
        <f>F49-X49</f>
        <v>75.063486000000012</v>
      </c>
      <c r="U49" s="146" t="str">
        <f t="shared" si="16"/>
        <v>&gt; predict by 22</v>
      </c>
      <c r="V49" s="147">
        <v>228</v>
      </c>
      <c r="W49" s="147">
        <v>206</v>
      </c>
      <c r="X49" s="147">
        <v>555.18707399999994</v>
      </c>
      <c r="Y49" s="147">
        <v>5</v>
      </c>
      <c r="Z49" s="119" t="b">
        <f>D49=AA49</f>
        <v>1</v>
      </c>
      <c r="AA49" s="119" t="s">
        <v>178</v>
      </c>
      <c r="AB49" s="107" t="s">
        <v>1032</v>
      </c>
      <c r="AC49" s="120">
        <v>3</v>
      </c>
      <c r="AD49" s="120" t="s">
        <v>1034</v>
      </c>
      <c r="AE49" s="120" t="s">
        <v>57</v>
      </c>
      <c r="AF49" s="121">
        <v>707.18902050000008</v>
      </c>
      <c r="AH49" s="2">
        <v>3</v>
      </c>
      <c r="AI49" s="122"/>
      <c r="AJ49" s="122"/>
      <c r="AK49" s="123"/>
      <c r="AL49" s="2" t="b">
        <f>AI49=D49</f>
        <v>0</v>
      </c>
    </row>
    <row r="50" spans="1:38">
      <c r="F50" s="124"/>
      <c r="G50" s="124"/>
      <c r="H50" s="124"/>
      <c r="I50" s="124"/>
      <c r="J50" s="148"/>
      <c r="K50" s="125"/>
      <c r="L50" s="124"/>
      <c r="M50" s="124"/>
      <c r="N50" s="124"/>
      <c r="O50" s="124"/>
      <c r="P50" s="126"/>
      <c r="Q50" s="126"/>
      <c r="R50" s="126"/>
      <c r="S50" s="126"/>
      <c r="T50" s="124"/>
      <c r="U50" s="124"/>
      <c r="V50" s="124"/>
      <c r="W50" s="124"/>
      <c r="X50" s="119"/>
      <c r="Y50" s="119"/>
      <c r="Z50" s="119"/>
      <c r="AA50" s="119"/>
      <c r="AB50" s="107"/>
      <c r="AC50" s="127"/>
      <c r="AD50" s="127"/>
      <c r="AE50" s="127"/>
      <c r="AF50" s="128"/>
      <c r="AI50" s="107"/>
      <c r="AJ50" s="107"/>
      <c r="AK50" s="119"/>
    </row>
    <row r="51" spans="1:38">
      <c r="A51" s="72"/>
      <c r="B51" s="72"/>
      <c r="C51" s="104" t="s">
        <v>1035</v>
      </c>
      <c r="D51" s="104"/>
      <c r="E51" s="104"/>
      <c r="F51" s="129"/>
      <c r="G51" s="129"/>
      <c r="H51" s="105"/>
      <c r="I51" s="105"/>
      <c r="J51" s="149"/>
      <c r="K51" s="131"/>
      <c r="L51" s="105"/>
      <c r="M51" s="105"/>
      <c r="N51" s="105"/>
      <c r="O51" s="105"/>
      <c r="P51" s="132"/>
      <c r="Q51" s="132"/>
      <c r="R51" s="132"/>
      <c r="S51" s="132"/>
      <c r="T51" s="105"/>
      <c r="U51" s="105"/>
      <c r="V51" s="105"/>
      <c r="W51" s="105"/>
      <c r="X51" s="119"/>
      <c r="Y51" s="119"/>
      <c r="Z51" s="119"/>
      <c r="AA51" s="119"/>
      <c r="AB51" s="107"/>
      <c r="AC51" s="108" t="s">
        <v>1035</v>
      </c>
      <c r="AD51" s="108"/>
      <c r="AE51" s="108"/>
      <c r="AF51" s="134"/>
      <c r="AH51" s="1" t="s">
        <v>1035</v>
      </c>
      <c r="AI51" s="135"/>
      <c r="AJ51" s="135"/>
      <c r="AK51" s="136"/>
    </row>
    <row r="52" spans="1:38">
      <c r="A52" s="2" t="s">
        <v>686</v>
      </c>
      <c r="B52" s="2">
        <v>1</v>
      </c>
      <c r="C52" s="137">
        <f>IF(J52=J53,"=1",1)</f>
        <v>1</v>
      </c>
      <c r="D52" s="138" t="s">
        <v>202</v>
      </c>
      <c r="E52" s="139" t="s">
        <v>50</v>
      </c>
      <c r="F52" s="140">
        <v>535.23557000000005</v>
      </c>
      <c r="G52" s="140">
        <v>4</v>
      </c>
      <c r="H52" s="110" t="e">
        <f>IF(I52="No","Insufficient races",IF(I52="N/A","No runner",IF(C52="=1","Joint Winner",IF(C52="=2","Joint second","OK"))))</f>
        <v>#NAME?</v>
      </c>
      <c r="I52" s="110" t="e">
        <f>IF(D52="No Match","N/A",IF(G52&lt;G$4,"No","OK"))</f>
        <v>#NAME?</v>
      </c>
      <c r="J52" s="141">
        <v>535.23557000000005</v>
      </c>
      <c r="K52" s="111" t="e">
        <f>IF(OR(D52="No match",I52="No"),"N/A",IF(P52=1,"OK",IF(AB52="No qualifing runner","No prev","No")))</f>
        <v>#NAME?</v>
      </c>
      <c r="L52" s="142">
        <v>0</v>
      </c>
      <c r="M52" s="143">
        <v>0</v>
      </c>
      <c r="N52" s="144">
        <v>0</v>
      </c>
      <c r="O52" s="143">
        <v>0</v>
      </c>
      <c r="P52" s="145">
        <v>1</v>
      </c>
      <c r="Q52" s="114"/>
      <c r="R52" s="115"/>
      <c r="S52" s="116">
        <f>MAX(P52:Q52)</f>
        <v>1</v>
      </c>
      <c r="T52" s="117">
        <f>F52-X52</f>
        <v>86.091760000000079</v>
      </c>
      <c r="U52" s="146" t="str">
        <f t="shared" ref="U52:U54" si="18">IF(V52&gt;W52,"&gt; predict by "&amp;V52-W52,"")</f>
        <v>&gt; predict by 46</v>
      </c>
      <c r="V52" s="147">
        <v>217</v>
      </c>
      <c r="W52" s="147">
        <v>171</v>
      </c>
      <c r="X52" s="147">
        <v>449.14380999999997</v>
      </c>
      <c r="Y52" s="147">
        <v>4</v>
      </c>
      <c r="Z52" s="119" t="b">
        <f>D52=AA52</f>
        <v>1</v>
      </c>
      <c r="AA52" s="119" t="s">
        <v>202</v>
      </c>
      <c r="AB52" s="107" t="s">
        <v>1036</v>
      </c>
      <c r="AC52" s="120">
        <v>1</v>
      </c>
      <c r="AD52" s="120" t="s">
        <v>1037</v>
      </c>
      <c r="AE52" s="120" t="s">
        <v>50</v>
      </c>
      <c r="AF52" s="121">
        <v>700.16494799999998</v>
      </c>
      <c r="AH52" s="2">
        <v>1</v>
      </c>
      <c r="AI52" s="122"/>
      <c r="AJ52" s="122"/>
      <c r="AK52" s="123"/>
      <c r="AL52" s="2" t="b">
        <f>AI52=D52</f>
        <v>0</v>
      </c>
    </row>
    <row r="53" spans="1:38">
      <c r="A53" s="2" t="s">
        <v>687</v>
      </c>
      <c r="B53" s="2">
        <v>2</v>
      </c>
      <c r="C53" s="137">
        <f>IF(J53=J52,"=1",2)</f>
        <v>2</v>
      </c>
      <c r="D53" s="138" t="s">
        <v>248</v>
      </c>
      <c r="E53" s="139" t="s">
        <v>50</v>
      </c>
      <c r="F53" s="140">
        <v>519.21272999999997</v>
      </c>
      <c r="G53" s="140">
        <v>5</v>
      </c>
      <c r="H53" s="110" t="e">
        <f>IF(I53="No","Insufficient races",IF(I53="N/A","No runner",IF(C53="=1","Joint Winner",IF(C53="=2","Joint second","OK"))))</f>
        <v>#NAME?</v>
      </c>
      <c r="I53" s="110" t="e">
        <f>IF(D53="No Match","N/A",IF(G53&lt;G$4,"No","OK"))</f>
        <v>#NAME?</v>
      </c>
      <c r="J53" s="141">
        <v>519.21272999999997</v>
      </c>
      <c r="K53" s="111" t="e">
        <f>IF(OR(D53="No match",I53="No"),"N/A",IF(P53=1,"OK",IF(AB53="No qualifing runner","No prev","No")))</f>
        <v>#NAME?</v>
      </c>
      <c r="L53" s="142">
        <v>0</v>
      </c>
      <c r="M53" s="143">
        <v>0</v>
      </c>
      <c r="N53" s="144">
        <v>0</v>
      </c>
      <c r="O53" s="143">
        <v>0</v>
      </c>
      <c r="P53" s="145">
        <v>1</v>
      </c>
      <c r="Q53" s="114"/>
      <c r="R53" s="115"/>
      <c r="S53" s="116">
        <f t="shared" ref="S53:S54" si="19">MAX(P53:Q53)</f>
        <v>1</v>
      </c>
      <c r="T53" s="117">
        <f>F53-X53</f>
        <v>81.067501999999934</v>
      </c>
      <c r="U53" s="146" t="str">
        <f t="shared" si="18"/>
        <v>&gt; predict by 22</v>
      </c>
      <c r="V53" s="147">
        <v>194</v>
      </c>
      <c r="W53" s="147">
        <v>172</v>
      </c>
      <c r="X53" s="147">
        <v>438.14522800000003</v>
      </c>
      <c r="Y53" s="147">
        <v>5</v>
      </c>
      <c r="Z53" s="119" t="b">
        <f>D53=AA53</f>
        <v>1</v>
      </c>
      <c r="AA53" s="119" t="s">
        <v>248</v>
      </c>
      <c r="AB53" s="107" t="s">
        <v>1036</v>
      </c>
      <c r="AC53" s="120">
        <v>2</v>
      </c>
      <c r="AD53" s="120" t="s">
        <v>1038</v>
      </c>
      <c r="AE53" s="120" t="s">
        <v>50</v>
      </c>
      <c r="AF53" s="121">
        <v>615.17061539999997</v>
      </c>
      <c r="AH53" s="2">
        <v>2</v>
      </c>
      <c r="AI53" s="122"/>
      <c r="AJ53" s="122"/>
      <c r="AK53" s="123"/>
      <c r="AL53" s="2" t="b">
        <f>AI53=D53</f>
        <v>0</v>
      </c>
    </row>
    <row r="54" spans="1:38">
      <c r="A54" s="2" t="s">
        <v>688</v>
      </c>
      <c r="B54" s="2">
        <v>3</v>
      </c>
      <c r="C54" s="137">
        <f>IF(J54=J52,"=1",IF(18=J53,"=2",3))</f>
        <v>3</v>
      </c>
      <c r="D54" s="138" t="s">
        <v>261</v>
      </c>
      <c r="E54" s="139" t="s">
        <v>103</v>
      </c>
      <c r="F54" s="140">
        <v>485.20924000000002</v>
      </c>
      <c r="G54" s="140">
        <v>4</v>
      </c>
      <c r="H54" s="110" t="e">
        <f>IF(I54="No","Insufficient races",IF(I54="N/A","No runner",IF(C54="=1","Joint Winner",IF(C54="=2","Joint second","OK"))))</f>
        <v>#NAME?</v>
      </c>
      <c r="I54" s="110" t="e">
        <f>IF(D54="No Match","N/A",IF(G54&lt;G$4,"No","OK"))</f>
        <v>#NAME?</v>
      </c>
      <c r="J54" s="141">
        <v>485.20924000000002</v>
      </c>
      <c r="K54" s="111" t="e">
        <f>IF(OR(D54="No match",I54="No"),"N/A",IF(P54=1,"OK",IF(AB54="No qualifing runner","No prev","No")))</f>
        <v>#NAME?</v>
      </c>
      <c r="L54" s="142">
        <v>0</v>
      </c>
      <c r="M54" s="143">
        <v>0</v>
      </c>
      <c r="N54" s="144">
        <v>0</v>
      </c>
      <c r="O54" s="143">
        <v>0</v>
      </c>
      <c r="P54" s="145">
        <v>1</v>
      </c>
      <c r="Q54" s="114"/>
      <c r="R54" s="115"/>
      <c r="S54" s="116">
        <f t="shared" si="19"/>
        <v>1</v>
      </c>
      <c r="T54" s="117">
        <f>F54-X54</f>
        <v>74.069070000000011</v>
      </c>
      <c r="U54" s="146" t="str">
        <f t="shared" si="18"/>
        <v>&gt; predict by 21</v>
      </c>
      <c r="V54" s="147">
        <v>191</v>
      </c>
      <c r="W54" s="147">
        <v>170</v>
      </c>
      <c r="X54" s="147">
        <v>411.14017000000001</v>
      </c>
      <c r="Y54" s="147">
        <v>4</v>
      </c>
      <c r="Z54" s="119" t="b">
        <f>D54=AA54</f>
        <v>1</v>
      </c>
      <c r="AA54" s="119" t="s">
        <v>261</v>
      </c>
      <c r="AB54" s="107" t="s">
        <v>1036</v>
      </c>
      <c r="AC54" s="120">
        <v>3</v>
      </c>
      <c r="AD54" s="120" t="s">
        <v>1039</v>
      </c>
      <c r="AE54" s="120" t="s">
        <v>61</v>
      </c>
      <c r="AF54" s="121">
        <v>591.16549520000001</v>
      </c>
      <c r="AH54" s="2">
        <v>3</v>
      </c>
      <c r="AI54" s="122"/>
      <c r="AJ54" s="122"/>
      <c r="AK54" s="123"/>
      <c r="AL54" s="2" t="b">
        <f>AI54=D54</f>
        <v>0</v>
      </c>
    </row>
    <row r="55" spans="1:38">
      <c r="F55" s="124"/>
      <c r="G55" s="124"/>
      <c r="H55" s="124"/>
      <c r="I55" s="124"/>
      <c r="J55" s="148"/>
      <c r="K55" s="125"/>
      <c r="L55" s="124"/>
      <c r="M55" s="124"/>
      <c r="N55" s="124"/>
      <c r="O55" s="124"/>
      <c r="P55" s="126"/>
      <c r="Q55" s="126"/>
      <c r="R55" s="126"/>
      <c r="S55" s="126"/>
      <c r="T55" s="124"/>
      <c r="U55" s="124"/>
      <c r="V55" s="124"/>
      <c r="W55" s="124"/>
      <c r="X55" s="119"/>
      <c r="Y55" s="119"/>
      <c r="Z55" s="119"/>
      <c r="AA55" s="119"/>
      <c r="AB55" s="107"/>
      <c r="AC55" s="127"/>
      <c r="AD55" s="127"/>
      <c r="AE55" s="127"/>
      <c r="AF55" s="128"/>
      <c r="AI55" s="107"/>
      <c r="AJ55" s="107"/>
      <c r="AK55" s="119"/>
    </row>
    <row r="56" spans="1:38">
      <c r="A56" s="1" t="s">
        <v>1040</v>
      </c>
      <c r="B56" s="72"/>
      <c r="C56" s="104" t="s">
        <v>1041</v>
      </c>
      <c r="D56" s="104"/>
      <c r="E56" s="104"/>
      <c r="F56" s="129"/>
      <c r="G56" s="105"/>
      <c r="H56" s="105"/>
      <c r="I56" s="105"/>
      <c r="J56" s="149"/>
      <c r="K56" s="131"/>
      <c r="L56" s="105"/>
      <c r="M56" s="105"/>
      <c r="N56" s="105"/>
      <c r="O56" s="105"/>
      <c r="P56" s="132"/>
      <c r="Q56" s="132"/>
      <c r="R56" s="132"/>
      <c r="S56" s="132"/>
      <c r="T56" s="105"/>
      <c r="U56" s="105"/>
      <c r="V56" s="105"/>
      <c r="W56" s="105"/>
      <c r="X56" s="133"/>
      <c r="Y56" s="133"/>
      <c r="Z56" s="133"/>
      <c r="AA56" s="133"/>
      <c r="AB56" s="107"/>
      <c r="AC56" s="108" t="s">
        <v>1041</v>
      </c>
      <c r="AD56" s="108"/>
      <c r="AE56" s="108"/>
      <c r="AF56" s="134"/>
      <c r="AH56" s="2" t="s">
        <v>1041</v>
      </c>
      <c r="AI56" s="135"/>
      <c r="AJ56" s="135"/>
      <c r="AK56" s="136"/>
    </row>
    <row r="57" spans="1:38">
      <c r="B57" s="2">
        <v>1</v>
      </c>
      <c r="C57" s="3">
        <v>1</v>
      </c>
      <c r="D57" s="3" t="str">
        <f t="shared" ref="D57:E59" si="20">INDEX(D$62:D$99,MATCH($F57,$F$62:$F$99,0))</f>
        <v>GRACE BAKER</v>
      </c>
      <c r="E57" s="3" t="str">
        <f t="shared" si="20"/>
        <v>HAC</v>
      </c>
      <c r="F57" s="109">
        <f>LARGE(F$62:F$99,1)</f>
        <v>600.22199999999998</v>
      </c>
      <c r="G57" s="151"/>
      <c r="H57" s="151"/>
      <c r="I57" s="151"/>
      <c r="J57" s="152"/>
      <c r="K57" s="111" t="str">
        <f>IF(D57="No match","N/A",IF(P57=1,"OK",IF(AB57="No qualifing runner","No prev","No")))</f>
        <v>OK</v>
      </c>
      <c r="L57" s="112"/>
      <c r="M57" s="112"/>
      <c r="N57" s="112"/>
      <c r="O57" s="112"/>
      <c r="P57" s="113">
        <f>INDEX(P$61:P$105,MATCH(X57,X$61:X$105,0))</f>
        <v>1</v>
      </c>
      <c r="Q57" s="114"/>
      <c r="R57" s="115"/>
      <c r="S57" s="116">
        <f>MAX(P57:Q57)</f>
        <v>1</v>
      </c>
      <c r="T57" s="117">
        <f>F57-X57</f>
        <v>1.999999999998181E-2</v>
      </c>
      <c r="U57" s="112"/>
      <c r="V57" s="112"/>
      <c r="W57" s="112"/>
      <c r="X57" s="118">
        <f>LARGE(X$61:X$105,1)</f>
        <v>600.202</v>
      </c>
      <c r="Y57" s="118">
        <f>INDEX(Y$61:Y$105,MATCH($F57,$F$61:$F$105,0))</f>
        <v>3</v>
      </c>
      <c r="Z57" s="119" t="b">
        <f>D57=AA57</f>
        <v>1</v>
      </c>
      <c r="AA57" s="119" t="s">
        <v>703</v>
      </c>
      <c r="AB57" s="107"/>
      <c r="AC57" s="153">
        <v>1</v>
      </c>
      <c r="AD57" s="120" t="s">
        <v>1042</v>
      </c>
      <c r="AE57" s="120" t="s">
        <v>19</v>
      </c>
      <c r="AF57" s="121">
        <v>800.0020219999999</v>
      </c>
      <c r="AH57" s="2">
        <v>1</v>
      </c>
      <c r="AI57" s="122"/>
      <c r="AJ57" s="122"/>
      <c r="AK57" s="123"/>
      <c r="AL57" s="2" t="b">
        <f>AI57=D57</f>
        <v>0</v>
      </c>
    </row>
    <row r="58" spans="1:38">
      <c r="B58" s="2">
        <v>2</v>
      </c>
      <c r="C58" s="3">
        <v>2</v>
      </c>
      <c r="D58" s="3" t="str">
        <f>INDEX(D$62:D$99,MATCH($F58,$F$62:$F$99,0))</f>
        <v>CLAIRE READ</v>
      </c>
      <c r="E58" s="3" t="str">
        <f t="shared" si="20"/>
        <v>HR</v>
      </c>
      <c r="F58" s="109">
        <f>LARGE(F$62:F$99,2)</f>
        <v>599.22199000000001</v>
      </c>
      <c r="G58" s="151"/>
      <c r="H58" s="151"/>
      <c r="I58" s="151"/>
      <c r="J58" s="152"/>
      <c r="K58" s="111" t="str">
        <f>IF(D58="No match","N/A",IF(P58=1,"OK",IF(AB58="No qualifing runner","No prev","No")))</f>
        <v>OK</v>
      </c>
      <c r="L58" s="112"/>
      <c r="M58" s="112"/>
      <c r="N58" s="112"/>
      <c r="O58" s="112"/>
      <c r="P58" s="113">
        <f>INDEX(P$61:P$105,MATCH(X58,X$61:X$105,0))</f>
        <v>1</v>
      </c>
      <c r="Q58" s="114"/>
      <c r="R58" s="115"/>
      <c r="S58" s="116">
        <f t="shared" ref="S58:S59" si="21">MAX(P58:Q58)</f>
        <v>1</v>
      </c>
      <c r="T58" s="117">
        <f>F58-X58</f>
        <v>1.0011020000001736</v>
      </c>
      <c r="U58" s="112"/>
      <c r="V58" s="112"/>
      <c r="W58" s="112"/>
      <c r="X58" s="118">
        <f>LARGE(X$61:X$105,2)</f>
        <v>598.22088799999983</v>
      </c>
      <c r="Y58" s="118">
        <f>INDEX(Y$61:Y$105,MATCH($F58,$F$61:$F$105,0))</f>
        <v>5</v>
      </c>
      <c r="Z58" s="119" t="b">
        <f>D58=AA58</f>
        <v>1</v>
      </c>
      <c r="AA58" s="119" t="s">
        <v>86</v>
      </c>
      <c r="AB58" s="107"/>
      <c r="AC58" s="153">
        <v>2</v>
      </c>
      <c r="AD58" s="120" t="s">
        <v>1043</v>
      </c>
      <c r="AE58" s="120" t="s">
        <v>57</v>
      </c>
      <c r="AF58" s="121">
        <v>797.22190966999995</v>
      </c>
      <c r="AH58" s="2">
        <v>2</v>
      </c>
      <c r="AI58" s="122"/>
      <c r="AJ58" s="122"/>
      <c r="AK58" s="123"/>
      <c r="AL58" s="2" t="b">
        <f>AI58=D58</f>
        <v>0</v>
      </c>
    </row>
    <row r="59" spans="1:38">
      <c r="B59" s="2">
        <v>3</v>
      </c>
      <c r="C59" s="3">
        <v>3</v>
      </c>
      <c r="D59" s="3" t="str">
        <f t="shared" si="20"/>
        <v>KIRSTY MCDERMOTT</v>
      </c>
      <c r="E59" s="3" t="str">
        <f t="shared" si="20"/>
        <v>CROW</v>
      </c>
      <c r="F59" s="109">
        <f>LARGE(F$62:F$99,3)</f>
        <v>593.22076000000004</v>
      </c>
      <c r="G59" s="151"/>
      <c r="H59" s="151"/>
      <c r="I59" s="151"/>
      <c r="J59" s="152"/>
      <c r="K59" s="111" t="str">
        <f>IF(D59="No match","N/A",IF(P59=1,"OK",IF(AB59="No qualifing runner","No prev","No")))</f>
        <v>OK</v>
      </c>
      <c r="L59" s="112"/>
      <c r="M59" s="112"/>
      <c r="N59" s="112"/>
      <c r="O59" s="112"/>
      <c r="P59" s="113">
        <f>INDEX(P$61:P$105,MATCH(X59,X$61:X$105,0))</f>
        <v>1</v>
      </c>
      <c r="Q59" s="114"/>
      <c r="R59" s="115"/>
      <c r="S59" s="116">
        <f t="shared" si="21"/>
        <v>1</v>
      </c>
      <c r="T59" s="117">
        <f>F59-X59</f>
        <v>2.2900000000163345E-3</v>
      </c>
      <c r="U59" s="112"/>
      <c r="V59" s="112"/>
      <c r="W59" s="112"/>
      <c r="X59" s="118">
        <f>LARGE(X$61:X$105,3)</f>
        <v>593.21847000000002</v>
      </c>
      <c r="Y59" s="118">
        <f>INDEX(Y$61:Y$105,MATCH($F59,$F$61:$F$105,0))</f>
        <v>4</v>
      </c>
      <c r="Z59" s="119" t="b">
        <f>D59=AA59</f>
        <v>0</v>
      </c>
      <c r="AA59" s="119" t="s">
        <v>704</v>
      </c>
      <c r="AB59" s="107"/>
      <c r="AC59" s="153">
        <v>3</v>
      </c>
      <c r="AD59" s="120" t="s">
        <v>1044</v>
      </c>
      <c r="AE59" s="120" t="s">
        <v>38</v>
      </c>
      <c r="AF59" s="121">
        <v>791.02160759999992</v>
      </c>
      <c r="AH59" s="2">
        <v>3</v>
      </c>
      <c r="AI59" s="122"/>
      <c r="AJ59" s="122"/>
      <c r="AK59" s="123"/>
      <c r="AL59" s="2" t="b">
        <f>AI59=D59</f>
        <v>0</v>
      </c>
    </row>
    <row r="60" spans="1:38">
      <c r="F60" s="124"/>
      <c r="G60" s="124"/>
      <c r="H60" s="124"/>
      <c r="I60" s="124"/>
      <c r="J60" s="148"/>
      <c r="K60" s="125"/>
      <c r="L60" s="124"/>
      <c r="M60" s="124"/>
      <c r="N60" s="124"/>
      <c r="O60" s="124"/>
      <c r="P60" s="126"/>
      <c r="Q60" s="126"/>
      <c r="R60" s="126"/>
      <c r="S60" s="126"/>
      <c r="T60" s="124"/>
      <c r="U60" s="124"/>
      <c r="V60" s="124"/>
      <c r="W60" s="124"/>
      <c r="X60" s="119"/>
      <c r="Y60" s="119"/>
      <c r="Z60" s="119"/>
      <c r="AA60" s="119"/>
      <c r="AB60" s="107"/>
      <c r="AC60" s="127"/>
      <c r="AD60" s="127"/>
      <c r="AE60" s="127"/>
      <c r="AF60" s="128"/>
      <c r="AI60" s="107"/>
      <c r="AJ60" s="107"/>
      <c r="AK60" s="119"/>
    </row>
    <row r="61" spans="1:38">
      <c r="A61" s="72"/>
      <c r="B61" s="72"/>
      <c r="C61" s="104" t="s">
        <v>1045</v>
      </c>
      <c r="D61" s="104"/>
      <c r="E61" s="104"/>
      <c r="F61" s="129"/>
      <c r="G61" s="129"/>
      <c r="H61" s="105"/>
      <c r="I61" s="105"/>
      <c r="J61" s="149"/>
      <c r="K61" s="131"/>
      <c r="L61" s="105"/>
      <c r="M61" s="105"/>
      <c r="N61" s="105"/>
      <c r="O61" s="105"/>
      <c r="P61" s="132"/>
      <c r="Q61" s="132"/>
      <c r="R61" s="132"/>
      <c r="S61" s="132"/>
      <c r="T61" s="105"/>
      <c r="U61" s="105"/>
      <c r="V61" s="105"/>
      <c r="W61" s="105"/>
      <c r="X61" s="133"/>
      <c r="Y61" s="133"/>
      <c r="Z61" s="133"/>
      <c r="AA61" s="133"/>
      <c r="AB61" s="107"/>
      <c r="AC61" s="108" t="s">
        <v>1045</v>
      </c>
      <c r="AD61" s="108"/>
      <c r="AE61" s="108"/>
      <c r="AF61" s="134"/>
      <c r="AH61" s="2" t="s">
        <v>1045</v>
      </c>
      <c r="AI61" s="135"/>
      <c r="AJ61" s="135"/>
      <c r="AK61" s="136"/>
    </row>
    <row r="62" spans="1:38">
      <c r="A62" s="2" t="s">
        <v>90</v>
      </c>
      <c r="B62" s="2">
        <v>1</v>
      </c>
      <c r="C62" s="137">
        <f>IF(J62=J63,"=1",1)</f>
        <v>1</v>
      </c>
      <c r="D62" s="138" t="s">
        <v>703</v>
      </c>
      <c r="E62" s="139" t="s">
        <v>19</v>
      </c>
      <c r="F62" s="140">
        <v>600.22199999999998</v>
      </c>
      <c r="G62" s="140">
        <v>3</v>
      </c>
      <c r="H62" s="110" t="e">
        <f>IF(I62="No","Insufficient races",IF(I62="N/A","No runner",IF(C62="=1","Joint Winner",IF(C62="=2","Joint second","OK"))))</f>
        <v>#NAME?</v>
      </c>
      <c r="I62" s="110" t="e">
        <f>IF(D62="No Match","N/A",IF(G62&lt;G$4,"No","OK"))</f>
        <v>#NAME?</v>
      </c>
      <c r="J62" s="141">
        <v>600.22199999999998</v>
      </c>
      <c r="K62" s="111" t="e">
        <f>IF(OR(D62="No match",I62="No"),"N/A",IF(P62=1,"OK",IF(AB62="No qualifing runner","No prev","No")))</f>
        <v>#NAME?</v>
      </c>
      <c r="L62" s="142">
        <v>0</v>
      </c>
      <c r="M62" s="143">
        <v>0</v>
      </c>
      <c r="N62" s="144">
        <v>0</v>
      </c>
      <c r="O62" s="143">
        <v>0</v>
      </c>
      <c r="P62" s="145">
        <v>1</v>
      </c>
      <c r="Q62" s="114"/>
      <c r="R62" s="115"/>
      <c r="S62" s="116">
        <f>MAX(P62:Q62)</f>
        <v>1</v>
      </c>
      <c r="T62" s="117">
        <f>F62-X62</f>
        <v>1.999999999998181E-2</v>
      </c>
      <c r="U62" s="146" t="str">
        <f>IF(V62&gt;W62,"&gt; predict by "&amp;V62-W62,"")</f>
        <v/>
      </c>
      <c r="V62" s="147">
        <v>0</v>
      </c>
      <c r="W62" s="147">
        <v>200</v>
      </c>
      <c r="X62" s="147">
        <v>600.202</v>
      </c>
      <c r="Y62" s="147">
        <v>3</v>
      </c>
      <c r="Z62" s="119" t="b">
        <f>D62=AA62</f>
        <v>1</v>
      </c>
      <c r="AA62" s="119" t="s">
        <v>703</v>
      </c>
      <c r="AB62" s="107" t="s">
        <v>703</v>
      </c>
      <c r="AC62" s="120">
        <v>1</v>
      </c>
      <c r="AD62" s="120" t="s">
        <v>1042</v>
      </c>
      <c r="AE62" s="120" t="s">
        <v>19</v>
      </c>
      <c r="AF62" s="121">
        <v>800.0020219999999</v>
      </c>
      <c r="AH62" s="2">
        <v>1</v>
      </c>
      <c r="AI62" s="122"/>
      <c r="AJ62" s="122"/>
      <c r="AK62" s="123"/>
      <c r="AL62" s="2" t="b">
        <f>AI62=D62</f>
        <v>0</v>
      </c>
    </row>
    <row r="63" spans="1:38">
      <c r="A63" s="2" t="s">
        <v>143</v>
      </c>
      <c r="B63" s="2">
        <v>2</v>
      </c>
      <c r="C63" s="137">
        <f>IF(J63=J62,"=1",2)</f>
        <v>2</v>
      </c>
      <c r="D63" s="138" t="s">
        <v>86</v>
      </c>
      <c r="E63" s="139" t="s">
        <v>88</v>
      </c>
      <c r="F63" s="140">
        <v>599.22199000000001</v>
      </c>
      <c r="G63" s="140">
        <v>5</v>
      </c>
      <c r="H63" s="110" t="e">
        <f>IF(I63="No","Insufficient races",IF(I63="N/A","No runner",IF(C63="=1","Joint Winner",IF(C63="=2","Joint second","OK"))))</f>
        <v>#NAME?</v>
      </c>
      <c r="I63" s="110" t="e">
        <f>IF(D63="No Match","N/A",IF(G63&lt;G$4,"No","OK"))</f>
        <v>#NAME?</v>
      </c>
      <c r="J63" s="141">
        <v>599.22199000000001</v>
      </c>
      <c r="K63" s="111" t="e">
        <f>IF(OR(D63="No match",I63="No"),"N/A",IF(P63=1,"OK",IF(AB63="No qualifing runner","No prev","No")))</f>
        <v>#NAME?</v>
      </c>
      <c r="L63" s="142">
        <v>0</v>
      </c>
      <c r="M63" s="143">
        <v>0</v>
      </c>
      <c r="N63" s="144">
        <v>0</v>
      </c>
      <c r="O63" s="143">
        <v>0</v>
      </c>
      <c r="P63" s="145">
        <v>1</v>
      </c>
      <c r="Q63" s="114"/>
      <c r="R63" s="115"/>
      <c r="S63" s="116">
        <f t="shared" ref="S63:S64" si="22">MAX(P63:Q63)</f>
        <v>1</v>
      </c>
      <c r="T63" s="117">
        <f>F63-X63</f>
        <v>1.0011020000001736</v>
      </c>
      <c r="U63" s="146" t="str">
        <f t="shared" ref="U63:U64" si="23">IF(V63&gt;W63,"&gt; predict by "&amp;V63-W63,"")</f>
        <v/>
      </c>
      <c r="V63" s="147">
        <v>200</v>
      </c>
      <c r="W63" s="147">
        <v>200</v>
      </c>
      <c r="X63" s="147">
        <v>598.22088799999983</v>
      </c>
      <c r="Y63" s="147">
        <v>5</v>
      </c>
      <c r="Z63" s="119" t="b">
        <f>D63=AA63</f>
        <v>1</v>
      </c>
      <c r="AA63" s="119" t="s">
        <v>86</v>
      </c>
      <c r="AB63" s="107" t="s">
        <v>86</v>
      </c>
      <c r="AC63" s="120">
        <v>2</v>
      </c>
      <c r="AD63" s="120" t="s">
        <v>1043</v>
      </c>
      <c r="AE63" s="120" t="s">
        <v>57</v>
      </c>
      <c r="AF63" s="121">
        <v>797.22190966999995</v>
      </c>
      <c r="AH63" s="2">
        <v>2</v>
      </c>
      <c r="AI63" s="122"/>
      <c r="AJ63" s="122"/>
      <c r="AK63" s="123"/>
      <c r="AL63" s="2" t="b">
        <f>AI63=D63</f>
        <v>0</v>
      </c>
    </row>
    <row r="64" spans="1:38">
      <c r="A64" s="2" t="s">
        <v>705</v>
      </c>
      <c r="B64" s="2">
        <v>3</v>
      </c>
      <c r="C64" s="137">
        <f>IF(J64=J62,"=1",IF(18=J63,"=2",3))</f>
        <v>3</v>
      </c>
      <c r="D64" s="138" t="s">
        <v>704</v>
      </c>
      <c r="E64" s="139" t="s">
        <v>57</v>
      </c>
      <c r="F64" s="140">
        <v>593.22067000000004</v>
      </c>
      <c r="G64" s="140">
        <v>3</v>
      </c>
      <c r="H64" s="110" t="e">
        <f>IF(I64="No","Insufficient races",IF(I64="N/A","No runner",IF(C64="=1","Joint Winner",IF(C64="=2","Joint second","OK"))))</f>
        <v>#NAME?</v>
      </c>
      <c r="I64" s="110" t="e">
        <f>IF(D64="No Match","N/A",IF(G64&lt;G$4,"No","OK"))</f>
        <v>#NAME?</v>
      </c>
      <c r="J64" s="141">
        <v>593.22067000000004</v>
      </c>
      <c r="K64" s="111" t="e">
        <f>IF(OR(D64="No match",I64="No"),"N/A",IF(P64=1,"OK",IF(AB64="No qualifing runner","No prev","No")))</f>
        <v>#NAME?</v>
      </c>
      <c r="L64" s="142">
        <v>0</v>
      </c>
      <c r="M64" s="143">
        <v>0</v>
      </c>
      <c r="N64" s="144">
        <v>0</v>
      </c>
      <c r="O64" s="143">
        <v>0</v>
      </c>
      <c r="P64" s="145">
        <v>1</v>
      </c>
      <c r="Q64" s="114"/>
      <c r="R64" s="115"/>
      <c r="S64" s="116">
        <f t="shared" si="22"/>
        <v>1</v>
      </c>
      <c r="T64" s="117">
        <f>F64-X64</f>
        <v>2.200000000016189E-3</v>
      </c>
      <c r="U64" s="146" t="str">
        <f t="shared" si="23"/>
        <v/>
      </c>
      <c r="V64" s="147">
        <v>0</v>
      </c>
      <c r="W64" s="147">
        <v>199</v>
      </c>
      <c r="X64" s="147">
        <v>593.21847000000002</v>
      </c>
      <c r="Y64" s="147">
        <v>3</v>
      </c>
      <c r="Z64" s="119" t="b">
        <f>D64=AA64</f>
        <v>1</v>
      </c>
      <c r="AA64" s="119" t="s">
        <v>704</v>
      </c>
      <c r="AB64" s="107" t="s">
        <v>1046</v>
      </c>
      <c r="AC64" s="120">
        <v>3</v>
      </c>
      <c r="AD64" s="120" t="s">
        <v>1044</v>
      </c>
      <c r="AE64" s="120" t="s">
        <v>38</v>
      </c>
      <c r="AF64" s="121">
        <v>791.02160759999992</v>
      </c>
      <c r="AH64" s="2">
        <v>3</v>
      </c>
      <c r="AI64" s="122"/>
      <c r="AJ64" s="122"/>
      <c r="AK64" s="123"/>
      <c r="AL64" s="2" t="b">
        <f>AI64=D64</f>
        <v>0</v>
      </c>
    </row>
    <row r="65" spans="1:38">
      <c r="F65" s="124"/>
      <c r="G65" s="124"/>
      <c r="H65" s="124"/>
      <c r="I65" s="124"/>
      <c r="J65" s="148"/>
      <c r="K65" s="125"/>
      <c r="L65" s="124"/>
      <c r="M65" s="124"/>
      <c r="N65" s="124"/>
      <c r="O65" s="124"/>
      <c r="P65" s="126"/>
      <c r="Q65" s="126"/>
      <c r="R65" s="126"/>
      <c r="S65" s="126"/>
      <c r="T65" s="124"/>
      <c r="U65" s="124"/>
      <c r="V65" s="124"/>
      <c r="W65" s="124"/>
      <c r="X65" s="119"/>
      <c r="Y65" s="119"/>
      <c r="Z65" s="119"/>
      <c r="AA65" s="119"/>
      <c r="AB65" s="107"/>
      <c r="AC65" s="127"/>
      <c r="AD65" s="127"/>
      <c r="AE65" s="127"/>
      <c r="AF65" s="128"/>
      <c r="AI65" s="107"/>
      <c r="AJ65" s="107"/>
      <c r="AK65" s="119"/>
    </row>
    <row r="66" spans="1:38">
      <c r="A66" s="72"/>
      <c r="B66" s="72"/>
      <c r="C66" s="104" t="s">
        <v>1047</v>
      </c>
      <c r="D66" s="104"/>
      <c r="E66" s="104"/>
      <c r="F66" s="129"/>
      <c r="G66" s="129"/>
      <c r="H66" s="105"/>
      <c r="I66" s="105"/>
      <c r="J66" s="149"/>
      <c r="K66" s="131"/>
      <c r="L66" s="105"/>
      <c r="M66" s="105"/>
      <c r="N66" s="105"/>
      <c r="O66" s="105"/>
      <c r="P66" s="132"/>
      <c r="Q66" s="132"/>
      <c r="R66" s="132"/>
      <c r="S66" s="132"/>
      <c r="T66" s="105"/>
      <c r="U66" s="105"/>
      <c r="V66" s="105"/>
      <c r="W66" s="105"/>
      <c r="X66" s="133"/>
      <c r="Y66" s="133"/>
      <c r="Z66" s="119"/>
      <c r="AA66" s="119"/>
      <c r="AB66" s="107"/>
      <c r="AC66" s="127" t="s">
        <v>1048</v>
      </c>
      <c r="AD66" s="127"/>
      <c r="AE66" s="127"/>
      <c r="AF66" s="128"/>
      <c r="AH66" s="2" t="s">
        <v>1048</v>
      </c>
      <c r="AI66" s="135"/>
      <c r="AJ66" s="135"/>
      <c r="AK66" s="136"/>
    </row>
    <row r="67" spans="1:38">
      <c r="A67" s="1" t="s">
        <v>735</v>
      </c>
      <c r="B67" s="2">
        <v>1</v>
      </c>
      <c r="C67" s="137">
        <f>IF(J67=J68,"=1",1)</f>
        <v>1</v>
      </c>
      <c r="D67" s="138" t="s">
        <v>108</v>
      </c>
      <c r="E67" s="139" t="s">
        <v>38</v>
      </c>
      <c r="F67" s="140">
        <v>593.22076000000004</v>
      </c>
      <c r="G67" s="140">
        <v>4</v>
      </c>
      <c r="H67" s="110" t="e">
        <f>IF(I67="No","Insufficient races",IF(I67="N/A","No runner",IF(C67="=1","Joint Winner",IF(C67="=2","Joint second","OK"))))</f>
        <v>#NAME?</v>
      </c>
      <c r="I67" s="110" t="e">
        <f>IF(D67="No Match","N/A",IF(G67&lt;G$4,"No","OK"))</f>
        <v>#NAME?</v>
      </c>
      <c r="J67" s="141">
        <v>593.22076000000004</v>
      </c>
      <c r="K67" s="111" t="e">
        <f>IF(OR(D67="No match",I67="No"),"N/A",IF(P67=1,"OK",IF(AB67="No qualifing runner","No prev","No")))</f>
        <v>#NAME?</v>
      </c>
      <c r="L67" s="142">
        <v>0</v>
      </c>
      <c r="M67" s="143">
        <v>0</v>
      </c>
      <c r="N67" s="144">
        <v>0</v>
      </c>
      <c r="O67" s="143">
        <v>0</v>
      </c>
      <c r="P67" s="145">
        <v>1</v>
      </c>
      <c r="Q67" s="114"/>
      <c r="R67" s="115"/>
      <c r="S67" s="116">
        <f>MAX(P67:Q67)</f>
        <v>1</v>
      </c>
      <c r="T67" s="117">
        <f>F67-X67</f>
        <v>3.0056000000000722</v>
      </c>
      <c r="U67" s="146" t="str">
        <f t="shared" ref="U67:U69" si="24">IF(V67&gt;W67,"&gt; predict by "&amp;V67-W67,"")</f>
        <v>&gt; predict by 1</v>
      </c>
      <c r="V67" s="147">
        <v>199</v>
      </c>
      <c r="W67" s="147">
        <v>198</v>
      </c>
      <c r="X67" s="147">
        <v>590.21515999999997</v>
      </c>
      <c r="Y67" s="147">
        <v>4</v>
      </c>
      <c r="Z67" s="119" t="b">
        <f>D67=AA67</f>
        <v>1</v>
      </c>
      <c r="AA67" s="119" t="s">
        <v>108</v>
      </c>
      <c r="AB67" s="150" t="s">
        <v>108</v>
      </c>
      <c r="AC67" s="127">
        <v>1</v>
      </c>
      <c r="AD67" s="127" t="s">
        <v>1049</v>
      </c>
      <c r="AE67" s="127" t="s">
        <v>19</v>
      </c>
      <c r="AF67" s="128">
        <v>777.20845388999999</v>
      </c>
      <c r="AH67" s="2">
        <v>1</v>
      </c>
      <c r="AI67" s="122"/>
      <c r="AJ67" s="122"/>
      <c r="AK67" s="123"/>
      <c r="AL67" s="2" t="b">
        <f>AI67=D67</f>
        <v>0</v>
      </c>
    </row>
    <row r="68" spans="1:38">
      <c r="A68" s="1" t="s">
        <v>736</v>
      </c>
      <c r="B68" s="2">
        <v>2</v>
      </c>
      <c r="C68" s="137">
        <f>IF(J68=J67,"=1",2)</f>
        <v>2</v>
      </c>
      <c r="D68" s="138" t="s">
        <v>142</v>
      </c>
      <c r="E68" s="139" t="s">
        <v>88</v>
      </c>
      <c r="F68" s="140">
        <v>579.21522000000004</v>
      </c>
      <c r="G68" s="140">
        <v>5</v>
      </c>
      <c r="H68" s="110" t="e">
        <f>IF(I68="No","Insufficient races",IF(I68="N/A","No runner",IF(C68="=1","Joint Winner",IF(C68="=2","Joint second","OK"))))</f>
        <v>#NAME?</v>
      </c>
      <c r="I68" s="110" t="e">
        <f>IF(D68="No Match","N/A",IF(G68&lt;G$4,"No","OK"))</f>
        <v>#NAME?</v>
      </c>
      <c r="J68" s="141">
        <v>579.21522000000004</v>
      </c>
      <c r="K68" s="111" t="e">
        <f>IF(OR(D68="No match",I68="No"),"N/A",IF(P68=1,"OK",IF(AB68="No qualifing runner","No prev","No")))</f>
        <v>#NAME?</v>
      </c>
      <c r="L68" s="142">
        <v>0</v>
      </c>
      <c r="M68" s="143">
        <v>0</v>
      </c>
      <c r="N68" s="144">
        <v>0</v>
      </c>
      <c r="O68" s="143">
        <v>0</v>
      </c>
      <c r="P68" s="145">
        <v>1</v>
      </c>
      <c r="Q68" s="114"/>
      <c r="R68" s="115"/>
      <c r="S68" s="116">
        <f t="shared" ref="S68:S69" si="25">MAX(P68:Q68)</f>
        <v>1</v>
      </c>
      <c r="T68" s="117">
        <f>F68-X68</f>
        <v>6.0069020000000819</v>
      </c>
      <c r="U68" s="146" t="str">
        <f t="shared" si="24"/>
        <v>&gt; predict by 1</v>
      </c>
      <c r="V68" s="147">
        <v>194</v>
      </c>
      <c r="W68" s="147">
        <v>193</v>
      </c>
      <c r="X68" s="147">
        <v>573.20831799999996</v>
      </c>
      <c r="Y68" s="147">
        <v>5</v>
      </c>
      <c r="Z68" s="119" t="b">
        <f>D68=AA68</f>
        <v>1</v>
      </c>
      <c r="AA68" s="119" t="s">
        <v>142</v>
      </c>
      <c r="AB68" s="150" t="s">
        <v>142</v>
      </c>
      <c r="AC68" s="127">
        <v>2</v>
      </c>
      <c r="AD68" s="127" t="s">
        <v>1050</v>
      </c>
      <c r="AE68" s="127" t="s">
        <v>19</v>
      </c>
      <c r="AF68" s="128">
        <v>773.01685412000006</v>
      </c>
      <c r="AH68" s="2">
        <v>2</v>
      </c>
      <c r="AI68" s="122"/>
      <c r="AJ68" s="122"/>
      <c r="AK68" s="123"/>
      <c r="AL68" s="2" t="b">
        <f>AI68=D68</f>
        <v>0</v>
      </c>
    </row>
    <row r="69" spans="1:38">
      <c r="A69" s="1" t="s">
        <v>737</v>
      </c>
      <c r="B69" s="2">
        <v>3</v>
      </c>
      <c r="C69" s="137">
        <f>IF(J69=J67,"=1",IF(18=J68,"=2",3))</f>
        <v>3</v>
      </c>
      <c r="D69" s="138" t="s">
        <v>188</v>
      </c>
      <c r="E69" s="139" t="s">
        <v>19</v>
      </c>
      <c r="F69" s="140">
        <v>564.21074999999996</v>
      </c>
      <c r="G69" s="140">
        <v>5</v>
      </c>
      <c r="H69" s="110" t="e">
        <f>IF(I69="No","Insufficient races",IF(I69="N/A","No runner",IF(C69="=1","Joint Winner",IF(C69="=2","Joint second","OK"))))</f>
        <v>#NAME?</v>
      </c>
      <c r="I69" s="110" t="e">
        <f>IF(D69="No Match","N/A",IF(G69&lt;G$4,"No","OK"))</f>
        <v>#NAME?</v>
      </c>
      <c r="J69" s="141">
        <v>564.21074999999996</v>
      </c>
      <c r="K69" s="111" t="e">
        <f>IF(OR(D69="No match",I69="No"),"N/A",IF(P69=1,"OK",IF(AB69="No qualifing runner","No prev","No")))</f>
        <v>#NAME?</v>
      </c>
      <c r="L69" s="142">
        <v>0</v>
      </c>
      <c r="M69" s="143">
        <v>0</v>
      </c>
      <c r="N69" s="144">
        <v>0</v>
      </c>
      <c r="O69" s="143">
        <v>0</v>
      </c>
      <c r="P69" s="145">
        <v>1</v>
      </c>
      <c r="Q69" s="114"/>
      <c r="R69" s="115"/>
      <c r="S69" s="116">
        <f t="shared" si="25"/>
        <v>1</v>
      </c>
      <c r="T69" s="117">
        <f>F69-X69</f>
        <v>2.0044379999998228</v>
      </c>
      <c r="U69" s="146" t="str">
        <f t="shared" si="24"/>
        <v/>
      </c>
      <c r="V69" s="147">
        <v>185</v>
      </c>
      <c r="W69" s="147">
        <v>190</v>
      </c>
      <c r="X69" s="147">
        <v>562.20631200000014</v>
      </c>
      <c r="Y69" s="147">
        <v>5</v>
      </c>
      <c r="Z69" s="119" t="b">
        <f>D69=AA69</f>
        <v>1</v>
      </c>
      <c r="AA69" s="119" t="s">
        <v>188</v>
      </c>
      <c r="AB69" s="150" t="s">
        <v>188</v>
      </c>
      <c r="AC69" s="127">
        <v>3</v>
      </c>
      <c r="AD69" s="127" t="s">
        <v>1051</v>
      </c>
      <c r="AE69" s="127" t="s">
        <v>38</v>
      </c>
      <c r="AF69" s="128">
        <v>765.19533021999996</v>
      </c>
      <c r="AH69" s="2">
        <v>3</v>
      </c>
      <c r="AI69" s="122"/>
      <c r="AJ69" s="122"/>
      <c r="AK69" s="123"/>
      <c r="AL69" s="2" t="b">
        <f>AI69=D69</f>
        <v>0</v>
      </c>
    </row>
    <row r="70" spans="1:38">
      <c r="B70" s="72"/>
      <c r="F70" s="124"/>
      <c r="G70" s="124"/>
      <c r="H70" s="124"/>
      <c r="I70" s="124"/>
      <c r="J70" s="148"/>
      <c r="K70" s="125"/>
      <c r="L70" s="124"/>
      <c r="M70" s="124"/>
      <c r="N70" s="124"/>
      <c r="O70" s="124"/>
      <c r="P70" s="126"/>
      <c r="Q70" s="126"/>
      <c r="R70" s="126"/>
      <c r="S70" s="126"/>
      <c r="T70" s="124"/>
      <c r="U70" s="124"/>
      <c r="V70" s="124"/>
      <c r="W70" s="124"/>
      <c r="X70" s="119"/>
      <c r="Y70" s="119"/>
      <c r="Z70" s="119"/>
      <c r="AA70" s="119"/>
      <c r="AB70" s="107"/>
      <c r="AC70" s="127"/>
      <c r="AD70" s="127"/>
      <c r="AE70" s="127"/>
      <c r="AF70" s="128"/>
      <c r="AI70" s="107"/>
      <c r="AJ70" s="107"/>
      <c r="AK70" s="119"/>
    </row>
    <row r="71" spans="1:38">
      <c r="A71" s="72"/>
      <c r="B71" s="72"/>
      <c r="C71" s="104" t="s">
        <v>1048</v>
      </c>
      <c r="D71" s="104"/>
      <c r="E71" s="104"/>
      <c r="F71" s="129"/>
      <c r="G71" s="129"/>
      <c r="H71" s="105"/>
      <c r="I71" s="105"/>
      <c r="J71" s="149"/>
      <c r="K71" s="131"/>
      <c r="L71" s="105"/>
      <c r="M71" s="105"/>
      <c r="N71" s="105"/>
      <c r="O71" s="105"/>
      <c r="P71" s="132"/>
      <c r="Q71" s="132"/>
      <c r="R71" s="132"/>
      <c r="S71" s="132"/>
      <c r="T71" s="105"/>
      <c r="U71" s="105"/>
      <c r="V71" s="105"/>
      <c r="W71" s="105"/>
      <c r="X71" s="133"/>
      <c r="Y71" s="133"/>
      <c r="Z71" s="133"/>
      <c r="AA71" s="133"/>
      <c r="AB71" s="107"/>
      <c r="AC71" s="108" t="s">
        <v>1048</v>
      </c>
      <c r="AD71" s="108"/>
      <c r="AE71" s="108"/>
      <c r="AF71" s="134"/>
      <c r="AH71" s="2" t="s">
        <v>1048</v>
      </c>
      <c r="AI71" s="135"/>
      <c r="AJ71" s="135"/>
      <c r="AK71" s="136"/>
    </row>
    <row r="72" spans="1:38">
      <c r="A72" s="2" t="s">
        <v>141</v>
      </c>
      <c r="B72" s="2">
        <v>1</v>
      </c>
      <c r="C72" s="137">
        <f>IF(J72=J73,"=1",1)</f>
        <v>1</v>
      </c>
      <c r="D72" s="138" t="s">
        <v>759</v>
      </c>
      <c r="E72" s="139" t="s">
        <v>61</v>
      </c>
      <c r="F72" s="140">
        <v>571.21388000000002</v>
      </c>
      <c r="G72" s="140">
        <v>3</v>
      </c>
      <c r="H72" s="110" t="e">
        <f>IF(I72="No","Insufficient races",IF(I72="N/A","No runner",IF(C72="=1","Joint Winner",IF(C72="=2","Joint second","OK"))))</f>
        <v>#NAME?</v>
      </c>
      <c r="I72" s="110" t="e">
        <f>IF(D72="No Match","N/A",IF(G72&lt;G$4,"No","OK"))</f>
        <v>#NAME?</v>
      </c>
      <c r="J72" s="141">
        <v>571.21388000000002</v>
      </c>
      <c r="K72" s="111" t="e">
        <f>IF(OR(D72="No match",I72="No"),"N/A",IF(P72=1,"OK",IF(AB72="No qualifing runner","No prev","No")))</f>
        <v>#NAME?</v>
      </c>
      <c r="L72" s="142">
        <v>0</v>
      </c>
      <c r="M72" s="143">
        <v>0</v>
      </c>
      <c r="N72" s="144">
        <v>0</v>
      </c>
      <c r="O72" s="143">
        <v>0</v>
      </c>
      <c r="P72" s="145">
        <v>1</v>
      </c>
      <c r="Q72" s="114"/>
      <c r="R72" s="115"/>
      <c r="S72" s="116">
        <f>MAX(P72:Q72)</f>
        <v>1</v>
      </c>
      <c r="T72" s="117">
        <f>F72-X72</f>
        <v>7.6999999999998181E-3</v>
      </c>
      <c r="U72" s="146" t="str">
        <f t="shared" ref="U72:U74" si="26">IF(V72&gt;W72,"&gt; predict by "&amp;V72-W72,"")</f>
        <v/>
      </c>
      <c r="V72" s="147">
        <v>0</v>
      </c>
      <c r="W72" s="147">
        <v>193</v>
      </c>
      <c r="X72" s="147">
        <v>571.20618000000002</v>
      </c>
      <c r="Y72" s="147">
        <v>3</v>
      </c>
      <c r="Z72" s="119" t="b">
        <f>D72=AA72</f>
        <v>1</v>
      </c>
      <c r="AA72" s="119" t="s">
        <v>759</v>
      </c>
      <c r="AB72" s="107" t="s">
        <v>1052</v>
      </c>
      <c r="AC72" s="120">
        <v>1</v>
      </c>
      <c r="AD72" s="120" t="s">
        <v>1053</v>
      </c>
      <c r="AE72" s="120" t="s">
        <v>19</v>
      </c>
      <c r="AF72" s="121">
        <v>694.18400099999997</v>
      </c>
      <c r="AH72" s="2">
        <v>1</v>
      </c>
      <c r="AI72" s="122"/>
      <c r="AJ72" s="122"/>
      <c r="AK72" s="123"/>
      <c r="AL72" s="2" t="b">
        <f>AI72=D72</f>
        <v>0</v>
      </c>
    </row>
    <row r="73" spans="1:38">
      <c r="A73" s="2" t="s">
        <v>194</v>
      </c>
      <c r="B73" s="2">
        <v>2</v>
      </c>
      <c r="C73" s="137">
        <f>IF(J73=J72,"=1",2)</f>
        <v>2</v>
      </c>
      <c r="D73" s="138" t="s">
        <v>166</v>
      </c>
      <c r="E73" s="139" t="s">
        <v>50</v>
      </c>
      <c r="F73" s="140">
        <v>557.21032000000002</v>
      </c>
      <c r="G73" s="140">
        <v>5</v>
      </c>
      <c r="H73" s="110" t="e">
        <f>IF(I73="No","Insufficient races",IF(I73="N/A","No runner",IF(C73="=1","Joint Winner",IF(C73="=2","Joint second","OK"))))</f>
        <v>#NAME?</v>
      </c>
      <c r="I73" s="110" t="e">
        <f>IF(D73="No Match","N/A",IF(G73&lt;G$4,"No","OK"))</f>
        <v>#NAME?</v>
      </c>
      <c r="J73" s="141">
        <v>557.21032000000002</v>
      </c>
      <c r="K73" s="111" t="e">
        <f>IF(OR(D73="No match",I73="No"),"N/A",IF(P73=1,"OK",IF(AB73="No qualifing runner","No prev","No")))</f>
        <v>#NAME?</v>
      </c>
      <c r="L73" s="142">
        <v>0</v>
      </c>
      <c r="M73" s="143">
        <v>0</v>
      </c>
      <c r="N73" s="144">
        <v>0</v>
      </c>
      <c r="O73" s="143">
        <v>0</v>
      </c>
      <c r="P73" s="145">
        <v>1</v>
      </c>
      <c r="Q73" s="114"/>
      <c r="R73" s="115"/>
      <c r="S73" s="116">
        <f t="shared" ref="S73:S74" si="27">MAX(P73:Q73)</f>
        <v>1</v>
      </c>
      <c r="T73" s="117">
        <f>F73-X73</f>
        <v>8.0170879999999443</v>
      </c>
      <c r="U73" s="146" t="str">
        <f t="shared" si="26"/>
        <v>&gt; predict by 5</v>
      </c>
      <c r="V73" s="147">
        <v>190</v>
      </c>
      <c r="W73" s="147">
        <v>185</v>
      </c>
      <c r="X73" s="147">
        <v>549.19323200000008</v>
      </c>
      <c r="Y73" s="147">
        <v>5</v>
      </c>
      <c r="Z73" s="119" t="b">
        <f>D73=AA73</f>
        <v>1</v>
      </c>
      <c r="AA73" s="119" t="s">
        <v>166</v>
      </c>
      <c r="AB73" s="107" t="s">
        <v>1054</v>
      </c>
      <c r="AC73" s="120">
        <v>2</v>
      </c>
      <c r="AD73" s="120" t="s">
        <v>1055</v>
      </c>
      <c r="AE73" s="120" t="s">
        <v>118</v>
      </c>
      <c r="AF73" s="121">
        <v>688.16918989999999</v>
      </c>
      <c r="AH73" s="2">
        <v>2</v>
      </c>
      <c r="AI73" s="122"/>
      <c r="AJ73" s="122"/>
      <c r="AK73" s="123"/>
      <c r="AL73" s="2" t="b">
        <f>AI73=D73</f>
        <v>0</v>
      </c>
    </row>
    <row r="74" spans="1:38">
      <c r="A74" s="2" t="s">
        <v>760</v>
      </c>
      <c r="B74" s="2">
        <v>3</v>
      </c>
      <c r="C74" s="137">
        <f>IF(J74=J72,"=1",IF(18=J73,"=2",3))</f>
        <v>3</v>
      </c>
      <c r="D74" s="138" t="s">
        <v>153</v>
      </c>
      <c r="E74" s="139" t="s">
        <v>66</v>
      </c>
      <c r="F74" s="140">
        <v>547.21067000000005</v>
      </c>
      <c r="G74" s="140">
        <v>4</v>
      </c>
      <c r="H74" s="110" t="e">
        <f>IF(I74="No","Insufficient races",IF(I74="N/A","No runner",IF(C74="=1","Joint Winner",IF(C74="=2","Joint second","OK"))))</f>
        <v>#NAME?</v>
      </c>
      <c r="I74" s="110" t="e">
        <f>IF(D74="No Match","N/A",IF(G74&lt;G$4,"No","OK"))</f>
        <v>#NAME?</v>
      </c>
      <c r="J74" s="141">
        <v>547.21067000000005</v>
      </c>
      <c r="K74" s="111" t="e">
        <f>IF(OR(D74="No match",I74="No"),"N/A",IF(P74=1,"OK",IF(AB74="No qualifing runner","No prev","No")))</f>
        <v>#NAME?</v>
      </c>
      <c r="L74" s="142">
        <v>0</v>
      </c>
      <c r="M74" s="143">
        <v>0</v>
      </c>
      <c r="N74" s="144">
        <v>0</v>
      </c>
      <c r="O74" s="143">
        <v>0</v>
      </c>
      <c r="P74" s="145">
        <v>1</v>
      </c>
      <c r="Q74" s="114"/>
      <c r="R74" s="115"/>
      <c r="S74" s="116">
        <f t="shared" si="27"/>
        <v>1</v>
      </c>
      <c r="T74" s="117">
        <f>F74-X74</f>
        <v>23.03961199999992</v>
      </c>
      <c r="U74" s="146" t="str">
        <f t="shared" si="26"/>
        <v>&gt; predict by 12</v>
      </c>
      <c r="V74" s="147">
        <v>191</v>
      </c>
      <c r="W74" s="147">
        <v>179</v>
      </c>
      <c r="X74" s="147">
        <v>524.17105800000013</v>
      </c>
      <c r="Y74" s="147">
        <v>4</v>
      </c>
      <c r="Z74" s="119" t="b">
        <f>D74=AA74</f>
        <v>1</v>
      </c>
      <c r="AA74" s="119" t="s">
        <v>153</v>
      </c>
      <c r="AB74" s="107" t="s">
        <v>1056</v>
      </c>
      <c r="AC74" s="120">
        <v>3</v>
      </c>
      <c r="AD74" s="120" t="s">
        <v>1057</v>
      </c>
      <c r="AE74" s="120" t="s">
        <v>38</v>
      </c>
      <c r="AF74" s="121">
        <v>682.17459560000009</v>
      </c>
      <c r="AH74" s="2">
        <v>3</v>
      </c>
      <c r="AI74" s="122"/>
      <c r="AJ74" s="122"/>
      <c r="AK74" s="123"/>
      <c r="AL74" s="2" t="b">
        <f>AI74=D74</f>
        <v>0</v>
      </c>
    </row>
    <row r="75" spans="1:38">
      <c r="F75" s="124"/>
      <c r="G75" s="124"/>
      <c r="H75" s="124"/>
      <c r="I75" s="124"/>
      <c r="J75" s="148"/>
      <c r="K75" s="125"/>
      <c r="L75" s="124"/>
      <c r="M75" s="124"/>
      <c r="N75" s="124"/>
      <c r="O75" s="124"/>
      <c r="P75" s="126"/>
      <c r="Q75" s="126"/>
      <c r="R75" s="126"/>
      <c r="S75" s="126"/>
      <c r="T75" s="124"/>
      <c r="U75" s="124"/>
      <c r="V75" s="124"/>
      <c r="W75" s="124"/>
      <c r="X75" s="119"/>
      <c r="Y75" s="119"/>
      <c r="Z75" s="119"/>
      <c r="AA75" s="119"/>
      <c r="AB75" s="107"/>
      <c r="AC75" s="127"/>
      <c r="AD75" s="127"/>
      <c r="AE75" s="127"/>
      <c r="AF75" s="128"/>
      <c r="AI75" s="107"/>
      <c r="AJ75" s="107"/>
      <c r="AK75" s="119"/>
    </row>
    <row r="76" spans="1:38">
      <c r="A76" s="72"/>
      <c r="B76" s="72"/>
      <c r="C76" s="104" t="s">
        <v>1058</v>
      </c>
      <c r="D76" s="104"/>
      <c r="E76" s="104"/>
      <c r="F76" s="129"/>
      <c r="G76" s="129"/>
      <c r="H76" s="105"/>
      <c r="I76" s="105"/>
      <c r="J76" s="149"/>
      <c r="K76" s="131"/>
      <c r="L76" s="105"/>
      <c r="M76" s="105"/>
      <c r="N76" s="105"/>
      <c r="O76" s="105"/>
      <c r="P76" s="132"/>
      <c r="Q76" s="132"/>
      <c r="R76" s="132"/>
      <c r="S76" s="132"/>
      <c r="T76" s="105"/>
      <c r="U76" s="105"/>
      <c r="V76" s="105"/>
      <c r="W76" s="105"/>
      <c r="X76" s="119"/>
      <c r="Y76" s="119"/>
      <c r="Z76" s="119"/>
      <c r="AA76" s="119"/>
      <c r="AB76" s="107"/>
      <c r="AC76" s="108" t="s">
        <v>1058</v>
      </c>
      <c r="AD76" s="108"/>
      <c r="AE76" s="108"/>
      <c r="AF76" s="134"/>
      <c r="AH76" s="1" t="s">
        <v>1058</v>
      </c>
      <c r="AI76" s="135"/>
      <c r="AJ76" s="135"/>
      <c r="AK76" s="136"/>
    </row>
    <row r="77" spans="1:38">
      <c r="A77" s="2" t="s">
        <v>784</v>
      </c>
      <c r="B77" s="2">
        <v>1</v>
      </c>
      <c r="C77" s="137">
        <f>IF(J77=J78,"=1",1)</f>
        <v>1</v>
      </c>
      <c r="D77" s="138" t="s">
        <v>144</v>
      </c>
      <c r="E77" s="139" t="s">
        <v>118</v>
      </c>
      <c r="F77" s="140">
        <v>584.21644000000003</v>
      </c>
      <c r="G77" s="140">
        <v>4</v>
      </c>
      <c r="H77" s="110" t="e">
        <f>IF(I77="No","Insufficient races",IF(I77="N/A","No runner",IF(C77="=1","Joint Winner",IF(C77="=2","Joint second","OK"))))</f>
        <v>#NAME?</v>
      </c>
      <c r="I77" s="110" t="e">
        <f>IF(D77="No Match","N/A",IF(G77&lt;G$4,"No","OK"))</f>
        <v>#NAME?</v>
      </c>
      <c r="J77" s="141">
        <v>584.21644000000003</v>
      </c>
      <c r="K77" s="111" t="e">
        <f>IF(OR(D77="No match",I77="No"),"N/A",IF(P77=1,"OK",IF(AB77="No qualifing runner","No prev","No")))</f>
        <v>#NAME?</v>
      </c>
      <c r="L77" s="142">
        <v>0</v>
      </c>
      <c r="M77" s="143">
        <v>0</v>
      </c>
      <c r="N77" s="144">
        <v>0</v>
      </c>
      <c r="O77" s="143">
        <v>0</v>
      </c>
      <c r="P77" s="145">
        <v>1</v>
      </c>
      <c r="Q77" s="114"/>
      <c r="R77" s="115"/>
      <c r="S77" s="116">
        <f>MAX(P77:Q77)</f>
        <v>1</v>
      </c>
      <c r="T77" s="117">
        <f>F77-X77</f>
        <v>1.1489999999980682E-2</v>
      </c>
      <c r="U77" s="146" t="str">
        <f t="shared" ref="U77:U79" si="28">IF(V77&gt;W77,"&gt; predict by "&amp;V77-W77,"")</f>
        <v/>
      </c>
      <c r="V77" s="147">
        <v>193</v>
      </c>
      <c r="W77" s="147">
        <v>195</v>
      </c>
      <c r="X77" s="147">
        <v>584.20495000000005</v>
      </c>
      <c r="Y77" s="147">
        <v>4</v>
      </c>
      <c r="Z77" s="119" t="b">
        <f>D77=AA77</f>
        <v>1</v>
      </c>
      <c r="AA77" s="119" t="s">
        <v>144</v>
      </c>
      <c r="AB77" s="107" t="s">
        <v>144</v>
      </c>
      <c r="AC77" s="120">
        <v>1</v>
      </c>
      <c r="AD77" s="120" t="s">
        <v>1059</v>
      </c>
      <c r="AE77" s="120" t="s">
        <v>485</v>
      </c>
      <c r="AF77" s="121">
        <v>782.20735309999998</v>
      </c>
      <c r="AH77" s="2">
        <v>1</v>
      </c>
      <c r="AI77" s="122"/>
      <c r="AJ77" s="122"/>
      <c r="AK77" s="123"/>
      <c r="AL77" s="2" t="b">
        <f>AI77=D77</f>
        <v>0</v>
      </c>
    </row>
    <row r="78" spans="1:38">
      <c r="A78" s="2" t="s">
        <v>785</v>
      </c>
      <c r="B78" s="2">
        <v>2</v>
      </c>
      <c r="C78" s="137">
        <f>IF(J78=J77,"=1",2)</f>
        <v>2</v>
      </c>
      <c r="D78" s="138" t="s">
        <v>139</v>
      </c>
      <c r="E78" s="139" t="s">
        <v>84</v>
      </c>
      <c r="F78" s="140">
        <v>576.21600000000001</v>
      </c>
      <c r="G78" s="140">
        <v>3</v>
      </c>
      <c r="H78" s="110" t="e">
        <f>IF(I78="No","Insufficient races",IF(I78="N/A","No runner",IF(C78="=1","Joint Winner",IF(C78="=2","Joint second","OK"))))</f>
        <v>#NAME?</v>
      </c>
      <c r="I78" s="110" t="e">
        <f>IF(D78="No Match","N/A",IF(G78&lt;G$4,"No","OK"))</f>
        <v>#NAME?</v>
      </c>
      <c r="J78" s="141">
        <v>576.21600000000001</v>
      </c>
      <c r="K78" s="111" t="e">
        <f>IF(OR(D78="No match",I78="No"),"N/A",IF(P78=1,"OK",IF(AB78="No qualifing runner","No prev","No")))</f>
        <v>#NAME?</v>
      </c>
      <c r="L78" s="142">
        <v>0</v>
      </c>
      <c r="M78" s="143">
        <v>0</v>
      </c>
      <c r="N78" s="144">
        <v>0</v>
      </c>
      <c r="O78" s="143">
        <v>0</v>
      </c>
      <c r="P78" s="145">
        <v>1</v>
      </c>
      <c r="Q78" s="114"/>
      <c r="R78" s="115"/>
      <c r="S78" s="116">
        <f t="shared" ref="S78:S79" si="29">MAX(P78:Q78)</f>
        <v>1</v>
      </c>
      <c r="T78" s="117">
        <f>F78-X78</f>
        <v>195.226</v>
      </c>
      <c r="U78" s="146" t="str">
        <f t="shared" si="28"/>
        <v>&gt; predict by 4</v>
      </c>
      <c r="V78" s="147">
        <v>195</v>
      </c>
      <c r="W78" s="147">
        <v>191</v>
      </c>
      <c r="X78" s="147">
        <v>380.99</v>
      </c>
      <c r="Y78" s="147">
        <v>3</v>
      </c>
      <c r="Z78" s="119" t="b">
        <f>D78=AA78</f>
        <v>0</v>
      </c>
      <c r="AA78" s="119" t="s">
        <v>787</v>
      </c>
      <c r="AB78" s="107" t="s">
        <v>1060</v>
      </c>
      <c r="AC78" s="120">
        <v>2</v>
      </c>
      <c r="AD78" s="120" t="s">
        <v>1061</v>
      </c>
      <c r="AE78" s="120" t="s">
        <v>66</v>
      </c>
      <c r="AF78" s="121">
        <v>735.00816411999983</v>
      </c>
      <c r="AH78" s="2">
        <v>2</v>
      </c>
      <c r="AI78" s="122"/>
      <c r="AJ78" s="122"/>
      <c r="AK78" s="123"/>
      <c r="AL78" s="2" t="b">
        <f>AI78=D78</f>
        <v>0</v>
      </c>
    </row>
    <row r="79" spans="1:38">
      <c r="A79" s="2" t="s">
        <v>786</v>
      </c>
      <c r="B79" s="2">
        <v>3</v>
      </c>
      <c r="C79" s="137">
        <f>IF(J79=J77,"=1",IF(18=J78,"=2",3))</f>
        <v>3</v>
      </c>
      <c r="D79" s="138" t="s">
        <v>787</v>
      </c>
      <c r="E79" s="139" t="s">
        <v>57</v>
      </c>
      <c r="F79" s="140">
        <v>531.19943999999998</v>
      </c>
      <c r="G79" s="140">
        <v>4</v>
      </c>
      <c r="H79" s="110" t="e">
        <f>IF(I79="No","Insufficient races",IF(I79="N/A","No runner",IF(C79="=1","Joint Winner",IF(C79="=2","Joint second","OK"))))</f>
        <v>#NAME?</v>
      </c>
      <c r="I79" s="110" t="e">
        <f>IF(D79="No Match","N/A",IF(G79&lt;G$4,"No","OK"))</f>
        <v>#NAME?</v>
      </c>
      <c r="J79" s="141">
        <v>531.19943999999998</v>
      </c>
      <c r="K79" s="111" t="e">
        <f>IF(OR(D79="No match",I79="No"),"N/A",IF(P79=1,"OK",IF(AB79="No qualifing runner","No prev","No")))</f>
        <v>#NAME?</v>
      </c>
      <c r="L79" s="142">
        <v>0</v>
      </c>
      <c r="M79" s="143">
        <v>0</v>
      </c>
      <c r="N79" s="144">
        <v>0</v>
      </c>
      <c r="O79" s="143">
        <v>0</v>
      </c>
      <c r="P79" s="145">
        <v>1</v>
      </c>
      <c r="Q79" s="114"/>
      <c r="R79" s="115"/>
      <c r="S79" s="116">
        <f t="shared" si="29"/>
        <v>1</v>
      </c>
      <c r="T79" s="117">
        <f>F79-X79</f>
        <v>1.6995999999949163E-2</v>
      </c>
      <c r="U79" s="146" t="str">
        <f t="shared" si="28"/>
        <v/>
      </c>
      <c r="V79" s="147">
        <v>0</v>
      </c>
      <c r="W79" s="147">
        <v>180</v>
      </c>
      <c r="X79" s="147">
        <v>531.18244400000003</v>
      </c>
      <c r="Y79" s="147">
        <v>4</v>
      </c>
      <c r="Z79" s="119" t="b">
        <f>D79=AA79</f>
        <v>0</v>
      </c>
      <c r="AA79" s="119" t="s">
        <v>788</v>
      </c>
      <c r="AB79" s="107" t="s">
        <v>1062</v>
      </c>
      <c r="AC79" s="120">
        <v>3</v>
      </c>
      <c r="AD79" s="120" t="s">
        <v>1063</v>
      </c>
      <c r="AE79" s="120" t="s">
        <v>162</v>
      </c>
      <c r="AF79" s="121">
        <v>728.17825289000007</v>
      </c>
      <c r="AH79" s="2">
        <v>3</v>
      </c>
      <c r="AI79" s="122"/>
      <c r="AJ79" s="122"/>
      <c r="AK79" s="123"/>
      <c r="AL79" s="2" t="b">
        <f>AI79=D79</f>
        <v>0</v>
      </c>
    </row>
    <row r="80" spans="1:38">
      <c r="F80" s="124"/>
      <c r="G80" s="124"/>
      <c r="H80" s="124"/>
      <c r="I80" s="124"/>
      <c r="J80" s="148"/>
      <c r="K80" s="125"/>
      <c r="L80" s="124"/>
      <c r="M80" s="124"/>
      <c r="N80" s="124"/>
      <c r="O80" s="124"/>
      <c r="P80" s="126"/>
      <c r="Q80" s="126"/>
      <c r="R80" s="126"/>
      <c r="S80" s="126"/>
      <c r="T80" s="124"/>
      <c r="U80" s="124"/>
      <c r="V80" s="124"/>
      <c r="W80" s="124"/>
      <c r="X80" s="119"/>
      <c r="Y80" s="119"/>
      <c r="Z80" s="119"/>
      <c r="AA80" s="119"/>
      <c r="AB80" s="107"/>
      <c r="AC80" s="127"/>
      <c r="AD80" s="127"/>
      <c r="AE80" s="127"/>
      <c r="AF80" s="128"/>
      <c r="AI80" s="107"/>
      <c r="AJ80" s="107"/>
      <c r="AK80" s="119"/>
    </row>
    <row r="81" spans="1:38">
      <c r="A81" s="72"/>
      <c r="B81" s="72"/>
      <c r="C81" s="104" t="s">
        <v>1064</v>
      </c>
      <c r="D81" s="104"/>
      <c r="E81" s="104"/>
      <c r="F81" s="129"/>
      <c r="G81" s="129"/>
      <c r="H81" s="105"/>
      <c r="I81" s="105"/>
      <c r="J81" s="149"/>
      <c r="K81" s="131"/>
      <c r="L81" s="105"/>
      <c r="M81" s="105"/>
      <c r="N81" s="105"/>
      <c r="O81" s="105"/>
      <c r="P81" s="132"/>
      <c r="Q81" s="132"/>
      <c r="R81" s="132"/>
      <c r="S81" s="132"/>
      <c r="T81" s="105"/>
      <c r="U81" s="105"/>
      <c r="V81" s="105"/>
      <c r="W81" s="105"/>
      <c r="X81" s="133"/>
      <c r="Y81" s="133"/>
      <c r="Z81" s="133"/>
      <c r="AA81" s="133"/>
      <c r="AB81" s="107"/>
      <c r="AC81" s="108" t="s">
        <v>1064</v>
      </c>
      <c r="AD81" s="108"/>
      <c r="AE81" s="108"/>
      <c r="AF81" s="134"/>
      <c r="AH81" s="2" t="s">
        <v>1064</v>
      </c>
      <c r="AI81" s="135"/>
      <c r="AJ81" s="135"/>
      <c r="AK81" s="136"/>
    </row>
    <row r="82" spans="1:38">
      <c r="A82" s="2" t="s">
        <v>130</v>
      </c>
      <c r="B82" s="2">
        <v>1</v>
      </c>
      <c r="C82" s="137">
        <f>IF(J82=J83,"=1",1)</f>
        <v>1</v>
      </c>
      <c r="D82" s="138" t="s">
        <v>187</v>
      </c>
      <c r="E82" s="139" t="s">
        <v>47</v>
      </c>
      <c r="F82" s="140">
        <v>547.20590000000004</v>
      </c>
      <c r="G82" s="140">
        <v>5</v>
      </c>
      <c r="H82" s="110" t="e">
        <f>IF(I82="No","Insufficient races",IF(I82="N/A","No runner",IF(C82="=1","Joint Winner",IF(C82="=2","Joint second","OK"))))</f>
        <v>#NAME?</v>
      </c>
      <c r="I82" s="110" t="e">
        <f>IF(D82="No Match","N/A",IF(G82&lt;G$4,"No","OK"))</f>
        <v>#NAME?</v>
      </c>
      <c r="J82" s="141">
        <v>547.20590000000004</v>
      </c>
      <c r="K82" s="111" t="e">
        <f>IF(OR(D82="No match",I82="No"),"N/A",IF(P82=1,"OK",IF(AB82="No qualifing runner","No prev","No")))</f>
        <v>#NAME?</v>
      </c>
      <c r="L82" s="142">
        <v>0</v>
      </c>
      <c r="M82" s="143">
        <v>0</v>
      </c>
      <c r="N82" s="144">
        <v>0</v>
      </c>
      <c r="O82" s="143">
        <v>0</v>
      </c>
      <c r="P82" s="145">
        <v>1</v>
      </c>
      <c r="Q82" s="114"/>
      <c r="R82" s="115"/>
      <c r="S82" s="116">
        <f>MAX(P82:Q82)</f>
        <v>1</v>
      </c>
      <c r="T82" s="117">
        <f>F82-X82</f>
        <v>17.033743000000072</v>
      </c>
      <c r="U82" s="146" t="str">
        <f t="shared" ref="U82:U84" si="30">IF(V82&gt;W82,"&gt; predict by "&amp;V82-W82,"")</f>
        <v>&gt; predict by 5</v>
      </c>
      <c r="V82" s="147">
        <v>186</v>
      </c>
      <c r="W82" s="147">
        <v>181</v>
      </c>
      <c r="X82" s="147">
        <v>530.17215699999997</v>
      </c>
      <c r="Y82" s="147">
        <v>5</v>
      </c>
      <c r="Z82" s="119" t="b">
        <f>D82=AA82</f>
        <v>1</v>
      </c>
      <c r="AA82" s="119" t="s">
        <v>187</v>
      </c>
      <c r="AB82" s="107" t="s">
        <v>1065</v>
      </c>
      <c r="AC82" s="120">
        <v>1</v>
      </c>
      <c r="AD82" s="120" t="s">
        <v>1066</v>
      </c>
      <c r="AE82" s="120" t="s">
        <v>57</v>
      </c>
      <c r="AF82" s="121">
        <v>787.18428549999999</v>
      </c>
      <c r="AH82" s="2">
        <v>1</v>
      </c>
      <c r="AI82" s="122"/>
      <c r="AJ82" s="122"/>
      <c r="AK82" s="123"/>
      <c r="AL82" s="2" t="b">
        <f>AI82=D82</f>
        <v>0</v>
      </c>
    </row>
    <row r="83" spans="1:38">
      <c r="A83" s="2" t="s">
        <v>247</v>
      </c>
      <c r="B83" s="2">
        <v>2</v>
      </c>
      <c r="C83" s="137">
        <f>IF(J83=J82,"=1",2)</f>
        <v>2</v>
      </c>
      <c r="D83" s="138" t="s">
        <v>179</v>
      </c>
      <c r="E83" s="139" t="s">
        <v>57</v>
      </c>
      <c r="F83" s="140">
        <v>538.20662000000004</v>
      </c>
      <c r="G83" s="140">
        <v>5</v>
      </c>
      <c r="H83" s="110" t="e">
        <f>IF(I83="No","Insufficient races",IF(I83="N/A","No runner",IF(C83="=1","Joint Winner",IF(C83="=2","Joint second","OK"))))</f>
        <v>#NAME?</v>
      </c>
      <c r="I83" s="110" t="e">
        <f>IF(D83="No Match","N/A",IF(G83&lt;G$4,"No","OK"))</f>
        <v>#NAME?</v>
      </c>
      <c r="J83" s="141">
        <v>538.20662000000004</v>
      </c>
      <c r="K83" s="111" t="e">
        <f>IF(OR(D83="No match",I83="No"),"N/A",IF(P83=1,"OK",IF(AB83="No qualifing runner","No prev","No")))</f>
        <v>#NAME?</v>
      </c>
      <c r="L83" s="142">
        <v>0</v>
      </c>
      <c r="M83" s="143">
        <v>0</v>
      </c>
      <c r="N83" s="144">
        <v>0</v>
      </c>
      <c r="O83" s="143">
        <v>0</v>
      </c>
      <c r="P83" s="145">
        <v>1</v>
      </c>
      <c r="Q83" s="114"/>
      <c r="R83" s="115"/>
      <c r="S83" s="116">
        <f t="shared" ref="S83:S84" si="31">MAX(P83:Q83)</f>
        <v>1</v>
      </c>
      <c r="T83" s="117">
        <f>F83-X83</f>
        <v>16.033957999999984</v>
      </c>
      <c r="U83" s="146" t="str">
        <f t="shared" si="30"/>
        <v>&gt; predict by 8</v>
      </c>
      <c r="V83" s="147">
        <v>187</v>
      </c>
      <c r="W83" s="147">
        <v>179</v>
      </c>
      <c r="X83" s="147">
        <v>522.17266200000006</v>
      </c>
      <c r="Y83" s="147">
        <v>5</v>
      </c>
      <c r="Z83" s="119" t="b">
        <f>D83=AA83</f>
        <v>1</v>
      </c>
      <c r="AA83" s="119" t="s">
        <v>179</v>
      </c>
      <c r="AB83" s="107" t="s">
        <v>1065</v>
      </c>
      <c r="AC83" s="120">
        <v>2</v>
      </c>
      <c r="AD83" s="120" t="s">
        <v>1067</v>
      </c>
      <c r="AE83" s="120" t="s">
        <v>57</v>
      </c>
      <c r="AF83" s="121">
        <v>741.18947160000005</v>
      </c>
      <c r="AH83" s="2">
        <v>2</v>
      </c>
      <c r="AI83" s="122"/>
      <c r="AJ83" s="122"/>
      <c r="AK83" s="123"/>
      <c r="AL83" s="2" t="b">
        <f>AI83=D83</f>
        <v>0</v>
      </c>
    </row>
    <row r="84" spans="1:38">
      <c r="A84" s="2" t="s">
        <v>825</v>
      </c>
      <c r="B84" s="2">
        <v>3</v>
      </c>
      <c r="C84" s="137">
        <f>IF(J84=J82,"=1",IF(18=J83,"=2",3))</f>
        <v>3</v>
      </c>
      <c r="D84" s="138" t="s">
        <v>826</v>
      </c>
      <c r="E84" s="139" t="s">
        <v>162</v>
      </c>
      <c r="F84" s="140">
        <v>519.19626000000005</v>
      </c>
      <c r="G84" s="140">
        <v>3</v>
      </c>
      <c r="H84" s="110" t="e">
        <f>IF(I84="No","Insufficient races",IF(I84="N/A","No runner",IF(C84="=1","Joint Winner",IF(C84="=2","Joint second","OK"))))</f>
        <v>#NAME?</v>
      </c>
      <c r="I84" s="110" t="e">
        <f>IF(D84="No Match","N/A",IF(G84&lt;G$4,"No","OK"))</f>
        <v>#NAME?</v>
      </c>
      <c r="J84" s="141">
        <v>519.19626000000005</v>
      </c>
      <c r="K84" s="111" t="e">
        <f>IF(OR(D84="No match",I84="No"),"N/A",IF(P84=1,"OK",IF(AB84="No qualifing runner","No prev","No")))</f>
        <v>#NAME?</v>
      </c>
      <c r="L84" s="142">
        <v>0</v>
      </c>
      <c r="M84" s="143">
        <v>0</v>
      </c>
      <c r="N84" s="144">
        <v>0</v>
      </c>
      <c r="O84" s="143">
        <v>0</v>
      </c>
      <c r="P84" s="145">
        <v>1</v>
      </c>
      <c r="Q84" s="114"/>
      <c r="R84" s="115"/>
      <c r="S84" s="116">
        <f t="shared" si="31"/>
        <v>1</v>
      </c>
      <c r="T84" s="117">
        <f>F84-X84</f>
        <v>2.7990000000045256E-2</v>
      </c>
      <c r="U84" s="146" t="str">
        <f t="shared" si="30"/>
        <v/>
      </c>
      <c r="V84" s="147">
        <v>0</v>
      </c>
      <c r="W84" s="147">
        <v>177</v>
      </c>
      <c r="X84" s="147">
        <v>519.16827000000001</v>
      </c>
      <c r="Y84" s="147">
        <v>3</v>
      </c>
      <c r="Z84" s="119" t="b">
        <f>D84=AA84</f>
        <v>1</v>
      </c>
      <c r="AA84" s="119" t="s">
        <v>826</v>
      </c>
      <c r="AB84" s="107" t="s">
        <v>1065</v>
      </c>
      <c r="AC84" s="120">
        <v>3</v>
      </c>
      <c r="AD84" s="120" t="s">
        <v>1068</v>
      </c>
      <c r="AE84" s="120" t="s">
        <v>47</v>
      </c>
      <c r="AF84" s="121">
        <v>697.00231230999987</v>
      </c>
      <c r="AH84" s="2">
        <v>3</v>
      </c>
      <c r="AI84" s="122"/>
      <c r="AJ84" s="122"/>
      <c r="AK84" s="123"/>
      <c r="AL84" s="2" t="b">
        <f>AI84=D84</f>
        <v>0</v>
      </c>
    </row>
    <row r="85" spans="1:38">
      <c r="F85" s="124"/>
      <c r="G85" s="124"/>
      <c r="H85" s="124"/>
      <c r="I85" s="124"/>
      <c r="J85" s="148"/>
      <c r="K85" s="125"/>
      <c r="L85" s="124"/>
      <c r="M85" s="124"/>
      <c r="N85" s="124"/>
      <c r="O85" s="124"/>
      <c r="P85" s="126"/>
      <c r="Q85" s="126"/>
      <c r="R85" s="126"/>
      <c r="S85" s="126"/>
      <c r="T85" s="124"/>
      <c r="U85" s="124"/>
      <c r="V85" s="124"/>
      <c r="W85" s="124"/>
      <c r="X85" s="119"/>
      <c r="Y85" s="119"/>
      <c r="Z85" s="119"/>
      <c r="AA85" s="119"/>
      <c r="AB85" s="107"/>
      <c r="AC85" s="127"/>
      <c r="AD85" s="127"/>
      <c r="AE85" s="127"/>
      <c r="AF85" s="128"/>
      <c r="AI85" s="107"/>
      <c r="AJ85" s="107"/>
      <c r="AK85" s="119"/>
    </row>
    <row r="86" spans="1:38">
      <c r="A86" s="72"/>
      <c r="B86" s="72"/>
      <c r="C86" s="104" t="s">
        <v>1069</v>
      </c>
      <c r="D86" s="104"/>
      <c r="E86" s="104"/>
      <c r="F86" s="129"/>
      <c r="G86" s="129"/>
      <c r="H86" s="105"/>
      <c r="I86" s="105"/>
      <c r="J86" s="149"/>
      <c r="K86" s="131"/>
      <c r="L86" s="105"/>
      <c r="M86" s="105"/>
      <c r="N86" s="105"/>
      <c r="O86" s="105"/>
      <c r="P86" s="132"/>
      <c r="Q86" s="132"/>
      <c r="R86" s="132"/>
      <c r="S86" s="132"/>
      <c r="T86" s="105"/>
      <c r="U86" s="105"/>
      <c r="V86" s="105"/>
      <c r="W86" s="105"/>
      <c r="X86" s="119"/>
      <c r="Y86" s="119"/>
      <c r="Z86" s="119"/>
      <c r="AA86" s="119"/>
      <c r="AB86" s="107"/>
      <c r="AC86" s="108" t="s">
        <v>1069</v>
      </c>
      <c r="AD86" s="108"/>
      <c r="AE86" s="108"/>
      <c r="AF86" s="134"/>
      <c r="AH86" s="1" t="s">
        <v>1069</v>
      </c>
      <c r="AI86" s="135"/>
      <c r="AJ86" s="135"/>
      <c r="AK86" s="136"/>
    </row>
    <row r="87" spans="1:38">
      <c r="A87" s="2" t="s">
        <v>861</v>
      </c>
      <c r="B87" s="2">
        <v>1</v>
      </c>
      <c r="C87" s="137">
        <f>IF(J87=J88,"=1",1)</f>
        <v>1</v>
      </c>
      <c r="D87" s="138" t="s">
        <v>128</v>
      </c>
      <c r="E87" s="139" t="s">
        <v>93</v>
      </c>
      <c r="F87" s="140">
        <v>591.21965999999998</v>
      </c>
      <c r="G87" s="140">
        <v>4</v>
      </c>
      <c r="H87" s="110" t="e">
        <f>IF(I87="No","Insufficient races",IF(I87="N/A","No runner",IF(C87="=1","Joint Winner",IF(C87="=2","Joint second","OK"))))</f>
        <v>#NAME?</v>
      </c>
      <c r="I87" s="110" t="e">
        <f>IF(D87="No Match","N/A",IF(G87&lt;G$4,"No","OK"))</f>
        <v>#NAME?</v>
      </c>
      <c r="J87" s="141">
        <v>591.21965999999998</v>
      </c>
      <c r="K87" s="111" t="e">
        <f>IF(OR(D87="No match",I87="No"),"N/A",IF(P87=1,"OK",IF(AB87="No qualifing runner","No prev","No")))</f>
        <v>#NAME?</v>
      </c>
      <c r="L87" s="142">
        <v>0</v>
      </c>
      <c r="M87" s="143">
        <v>0</v>
      </c>
      <c r="N87" s="144">
        <v>0</v>
      </c>
      <c r="O87" s="143">
        <v>0</v>
      </c>
      <c r="P87" s="145">
        <v>1</v>
      </c>
      <c r="Q87" s="114"/>
      <c r="R87" s="115"/>
      <c r="S87" s="116">
        <f>MAX(P87:Q87)</f>
        <v>1</v>
      </c>
      <c r="T87" s="117">
        <f>F87-X87</f>
        <v>2.219695999999999</v>
      </c>
      <c r="U87" s="146" t="str">
        <f t="shared" ref="U87:U89" si="32">IF(V87&gt;W87,"&gt; predict by "&amp;V87-W87,"")</f>
        <v/>
      </c>
      <c r="V87" s="147">
        <v>196</v>
      </c>
      <c r="W87" s="147">
        <v>198</v>
      </c>
      <c r="X87" s="147">
        <v>588.99996399999998</v>
      </c>
      <c r="Y87" s="147">
        <v>4</v>
      </c>
      <c r="Z87" s="119" t="b">
        <f>D87=AA87</f>
        <v>1</v>
      </c>
      <c r="AA87" s="119" t="s">
        <v>128</v>
      </c>
      <c r="AB87" s="107" t="s">
        <v>128</v>
      </c>
      <c r="AC87" s="120">
        <v>1</v>
      </c>
      <c r="AD87" s="120" t="s">
        <v>1070</v>
      </c>
      <c r="AE87" s="120" t="s">
        <v>93</v>
      </c>
      <c r="AF87" s="121">
        <v>775.19376409999995</v>
      </c>
      <c r="AH87" s="2">
        <v>1</v>
      </c>
      <c r="AI87" s="122"/>
      <c r="AJ87" s="122"/>
      <c r="AK87" s="123"/>
      <c r="AL87" s="2" t="b">
        <f>AI87=D87</f>
        <v>0</v>
      </c>
    </row>
    <row r="88" spans="1:38">
      <c r="A88" s="2" t="s">
        <v>863</v>
      </c>
      <c r="B88" s="2">
        <v>2</v>
      </c>
      <c r="C88" s="137">
        <f>IF(J88=J87,"=1",2)</f>
        <v>2</v>
      </c>
      <c r="D88" s="138" t="s">
        <v>862</v>
      </c>
      <c r="E88" s="139" t="s">
        <v>50</v>
      </c>
      <c r="F88" s="140">
        <v>559.20754999999997</v>
      </c>
      <c r="G88" s="140">
        <v>3</v>
      </c>
      <c r="H88" s="110" t="e">
        <f>IF(I88="No","Insufficient races",IF(I88="N/A","No runner",IF(C88="=1","Joint Winner",IF(C88="=2","Joint second","OK"))))</f>
        <v>#NAME?</v>
      </c>
      <c r="I88" s="110" t="e">
        <f>IF(D88="No Match","N/A",IF(G88&lt;G$4,"No","OK"))</f>
        <v>#NAME?</v>
      </c>
      <c r="J88" s="141">
        <v>559.20754999999997</v>
      </c>
      <c r="K88" s="111" t="e">
        <f>IF(OR(D88="No match",I88="No"),"N/A",IF(P88=1,"OK",IF(AB88="No qualifing runner","No prev","No")))</f>
        <v>#NAME?</v>
      </c>
      <c r="L88" s="142">
        <v>0</v>
      </c>
      <c r="M88" s="143">
        <v>0</v>
      </c>
      <c r="N88" s="144">
        <v>0</v>
      </c>
      <c r="O88" s="143">
        <v>0</v>
      </c>
      <c r="P88" s="145">
        <v>1</v>
      </c>
      <c r="Q88" s="114"/>
      <c r="R88" s="115"/>
      <c r="S88" s="116">
        <f t="shared" ref="S88:S89" si="33">MAX(P88:Q88)</f>
        <v>1</v>
      </c>
      <c r="T88" s="117">
        <f>F88-X88</f>
        <v>2.2279999999909705E-2</v>
      </c>
      <c r="U88" s="146" t="str">
        <f t="shared" si="32"/>
        <v/>
      </c>
      <c r="V88" s="147">
        <v>0</v>
      </c>
      <c r="W88" s="147">
        <v>187</v>
      </c>
      <c r="X88" s="147">
        <v>559.18527000000006</v>
      </c>
      <c r="Y88" s="147">
        <v>3</v>
      </c>
      <c r="Z88" s="119" t="b">
        <f>D88=AA88</f>
        <v>1</v>
      </c>
      <c r="AA88" s="119" t="s">
        <v>862</v>
      </c>
      <c r="AB88" s="107" t="s">
        <v>862</v>
      </c>
      <c r="AC88" s="120">
        <v>2</v>
      </c>
      <c r="AD88" s="120" t="s">
        <v>1071</v>
      </c>
      <c r="AE88" s="120" t="s">
        <v>53</v>
      </c>
      <c r="AF88" s="121">
        <v>758.99942077999992</v>
      </c>
      <c r="AH88" s="2">
        <v>2</v>
      </c>
      <c r="AI88" s="122"/>
      <c r="AJ88" s="122"/>
      <c r="AK88" s="123"/>
      <c r="AL88" s="2" t="b">
        <f>AI88=D88</f>
        <v>0</v>
      </c>
    </row>
    <row r="89" spans="1:38">
      <c r="A89" s="2" t="s">
        <v>864</v>
      </c>
      <c r="B89" s="2">
        <v>3</v>
      </c>
      <c r="C89" s="137">
        <f>IF(J89=J87,"=1",IF(18=J88,"=2",3))</f>
        <v>3</v>
      </c>
      <c r="D89" s="138" t="s">
        <v>208</v>
      </c>
      <c r="E89" s="139" t="s">
        <v>19</v>
      </c>
      <c r="F89" s="140">
        <v>491.19967000000003</v>
      </c>
      <c r="G89" s="140">
        <v>3</v>
      </c>
      <c r="H89" s="110" t="e">
        <f>IF(I89="No","Insufficient races",IF(I89="N/A","No runner",IF(C89="=1","Joint Winner",IF(C89="=2","Joint second","OK"))))</f>
        <v>#NAME?</v>
      </c>
      <c r="I89" s="110" t="e">
        <f>IF(D89="No Match","N/A",IF(G89&lt;G$4,"No","OK"))</f>
        <v>#NAME?</v>
      </c>
      <c r="J89" s="141">
        <v>491.19967000000003</v>
      </c>
      <c r="K89" s="111" t="e">
        <f>IF(OR(D89="No match",I89="No"),"N/A",IF(P89=1,"OK",IF(AB89="No qualifing runner","No prev","No")))</f>
        <v>#NAME?</v>
      </c>
      <c r="L89" s="142">
        <v>0</v>
      </c>
      <c r="M89" s="143">
        <v>0</v>
      </c>
      <c r="N89" s="144">
        <v>0</v>
      </c>
      <c r="O89" s="143">
        <v>0</v>
      </c>
      <c r="P89" s="145">
        <v>0</v>
      </c>
      <c r="Q89" s="114">
        <v>1</v>
      </c>
      <c r="R89" s="115" t="s">
        <v>1072</v>
      </c>
      <c r="S89" s="116">
        <f t="shared" si="33"/>
        <v>1</v>
      </c>
      <c r="T89" s="117">
        <f>F89-X89</f>
        <v>182.05937</v>
      </c>
      <c r="U89" s="146" t="str">
        <f t="shared" si="32"/>
        <v>&gt; predict by 20</v>
      </c>
      <c r="V89" s="147">
        <v>182</v>
      </c>
      <c r="W89" s="147">
        <v>162</v>
      </c>
      <c r="X89" s="147">
        <v>309.14030000000002</v>
      </c>
      <c r="Y89" s="147">
        <v>3</v>
      </c>
      <c r="Z89" s="119" t="b">
        <f>D89=AA89</f>
        <v>0</v>
      </c>
      <c r="AA89" s="119" t="s">
        <v>865</v>
      </c>
      <c r="AB89" s="107" t="s">
        <v>1073</v>
      </c>
      <c r="AC89" s="120">
        <v>3</v>
      </c>
      <c r="AD89" s="120" t="s">
        <v>1074</v>
      </c>
      <c r="AE89" s="120" t="s">
        <v>50</v>
      </c>
      <c r="AF89" s="121">
        <v>751.18021550000003</v>
      </c>
      <c r="AH89" s="2">
        <v>3</v>
      </c>
      <c r="AI89" s="122"/>
      <c r="AJ89" s="122"/>
      <c r="AK89" s="123"/>
      <c r="AL89" s="2" t="b">
        <f>AI89=D89</f>
        <v>0</v>
      </c>
    </row>
    <row r="90" spans="1:38">
      <c r="F90" s="124"/>
      <c r="G90" s="124"/>
      <c r="H90" s="124"/>
      <c r="I90" s="124"/>
      <c r="J90" s="148"/>
      <c r="K90" s="125"/>
      <c r="L90" s="124"/>
      <c r="M90" s="124"/>
      <c r="N90" s="124"/>
      <c r="O90" s="124"/>
      <c r="P90" s="126"/>
      <c r="Q90" s="126"/>
      <c r="R90" s="126"/>
      <c r="S90" s="126"/>
      <c r="T90" s="124"/>
      <c r="U90" s="124"/>
      <c r="V90" s="124"/>
      <c r="W90" s="124"/>
      <c r="X90" s="119"/>
      <c r="Y90" s="119"/>
      <c r="Z90" s="119"/>
      <c r="AA90" s="119"/>
      <c r="AB90" s="107"/>
      <c r="AC90" s="127"/>
      <c r="AD90" s="127"/>
      <c r="AE90" s="127"/>
      <c r="AF90" s="128"/>
      <c r="AI90" s="107"/>
      <c r="AJ90" s="107"/>
      <c r="AK90" s="119"/>
    </row>
    <row r="91" spans="1:38">
      <c r="A91" s="72"/>
      <c r="B91" s="72"/>
      <c r="C91" s="104" t="s">
        <v>1075</v>
      </c>
      <c r="D91" s="104"/>
      <c r="E91" s="104"/>
      <c r="F91" s="129"/>
      <c r="G91" s="129"/>
      <c r="H91" s="105"/>
      <c r="I91" s="105"/>
      <c r="J91" s="149"/>
      <c r="K91" s="131"/>
      <c r="L91" s="105"/>
      <c r="M91" s="105"/>
      <c r="N91" s="105"/>
      <c r="O91" s="105"/>
      <c r="P91" s="132"/>
      <c r="Q91" s="132"/>
      <c r="R91" s="132"/>
      <c r="S91" s="132"/>
      <c r="T91" s="105"/>
      <c r="U91" s="105"/>
      <c r="V91" s="105"/>
      <c r="W91" s="105"/>
      <c r="X91" s="133"/>
      <c r="Y91" s="133"/>
      <c r="Z91" s="133"/>
      <c r="AA91" s="133"/>
      <c r="AB91" s="107"/>
      <c r="AC91" s="108" t="s">
        <v>1075</v>
      </c>
      <c r="AD91" s="108"/>
      <c r="AE91" s="108"/>
      <c r="AF91" s="134"/>
      <c r="AH91" s="2" t="s">
        <v>1075</v>
      </c>
      <c r="AI91" s="135"/>
      <c r="AJ91" s="135"/>
      <c r="AK91" s="136"/>
    </row>
    <row r="92" spans="1:38">
      <c r="A92" s="2" t="s">
        <v>218</v>
      </c>
      <c r="B92" s="2">
        <v>1</v>
      </c>
      <c r="C92" s="137">
        <f>IF(J92=J93,"=1",1)</f>
        <v>1</v>
      </c>
      <c r="D92" s="138" t="s">
        <v>886</v>
      </c>
      <c r="E92" s="139" t="s">
        <v>53</v>
      </c>
      <c r="F92" s="140">
        <v>568.21285999999998</v>
      </c>
      <c r="G92" s="140">
        <v>3</v>
      </c>
      <c r="H92" s="110" t="e">
        <f>IF(I92="No","Insufficient races",IF(I92="N/A","No runner",IF(C92="=1","Joint Winner",IF(C92="=2","Joint second","OK"))))</f>
        <v>#NAME?</v>
      </c>
      <c r="I92" s="110" t="e">
        <f>IF(D92="No Match","N/A",IF(G92&lt;G$4,"No","OK"))</f>
        <v>#NAME?</v>
      </c>
      <c r="J92" s="141">
        <v>568.21285999999998</v>
      </c>
      <c r="K92" s="111" t="e">
        <f>IF(OR(D92="No match",I92="No"),"N/A",IF(P92=1,"OK",IF(AB92="No qualifing runner","No prev","No")))</f>
        <v>#NAME?</v>
      </c>
      <c r="L92" s="142">
        <v>0</v>
      </c>
      <c r="M92" s="143">
        <v>0</v>
      </c>
      <c r="N92" s="144">
        <v>0</v>
      </c>
      <c r="O92" s="143">
        <v>0</v>
      </c>
      <c r="P92" s="145">
        <v>1</v>
      </c>
      <c r="Q92" s="114"/>
      <c r="R92" s="115"/>
      <c r="S92" s="116">
        <f>MAX(P92:Q92)</f>
        <v>1</v>
      </c>
      <c r="T92" s="117">
        <f>F92-X92</f>
        <v>0.21744999999998527</v>
      </c>
      <c r="U92" s="146" t="str">
        <f t="shared" ref="U92:U94" si="34">IF(V92&gt;W92,"&gt; predict by "&amp;V92-W92,"")</f>
        <v/>
      </c>
      <c r="V92" s="147">
        <v>0</v>
      </c>
      <c r="W92" s="147">
        <v>192</v>
      </c>
      <c r="X92" s="147">
        <v>567.99540999999999</v>
      </c>
      <c r="Y92" s="147">
        <v>3</v>
      </c>
      <c r="Z92" s="119" t="b">
        <f>D92=AA92</f>
        <v>1</v>
      </c>
      <c r="AA92" s="119" t="s">
        <v>886</v>
      </c>
      <c r="AB92" s="107" t="s">
        <v>886</v>
      </c>
      <c r="AC92" s="120">
        <v>1</v>
      </c>
      <c r="AD92" s="120" t="s">
        <v>1076</v>
      </c>
      <c r="AE92" s="120" t="s">
        <v>69</v>
      </c>
      <c r="AF92" s="121">
        <v>765.1858555</v>
      </c>
      <c r="AH92" s="2">
        <v>1</v>
      </c>
      <c r="AI92" s="122"/>
      <c r="AJ92" s="122"/>
      <c r="AK92" s="123"/>
      <c r="AL92" s="2" t="b">
        <f>AI92=D92</f>
        <v>0</v>
      </c>
    </row>
    <row r="93" spans="1:38">
      <c r="A93" s="2" t="s">
        <v>271</v>
      </c>
      <c r="B93" s="2">
        <v>2</v>
      </c>
      <c r="C93" s="137">
        <f>IF(J93=J92,"=1",2)</f>
        <v>2</v>
      </c>
      <c r="D93" s="138" t="s">
        <v>216</v>
      </c>
      <c r="E93" s="139" t="s">
        <v>53</v>
      </c>
      <c r="F93" s="140">
        <v>504.19772999999998</v>
      </c>
      <c r="G93" s="140">
        <v>4</v>
      </c>
      <c r="H93" s="110" t="e">
        <f>IF(I93="No","Insufficient races",IF(I93="N/A","No runner",IF(C93="=1","Joint Winner",IF(C93="=2","Joint second","OK"))))</f>
        <v>#NAME?</v>
      </c>
      <c r="I93" s="110" t="e">
        <f>IF(D93="No Match","N/A",IF(G93&lt;G$4,"No","OK"))</f>
        <v>#NAME?</v>
      </c>
      <c r="J93" s="141">
        <v>504.19772999999998</v>
      </c>
      <c r="K93" s="111" t="e">
        <f>IF(OR(D93="No match",I93="No"),"N/A",IF(P93=1,"OK",IF(AB93="No qualifing runner","No prev","No")))</f>
        <v>#NAME?</v>
      </c>
      <c r="L93" s="142">
        <v>0</v>
      </c>
      <c r="M93" s="143">
        <v>0</v>
      </c>
      <c r="N93" s="144">
        <v>0</v>
      </c>
      <c r="O93" s="143">
        <v>0</v>
      </c>
      <c r="P93" s="145">
        <v>1</v>
      </c>
      <c r="Q93" s="114"/>
      <c r="R93" s="115"/>
      <c r="S93" s="116">
        <f t="shared" ref="S93:S94" si="35">MAX(P93:Q93)</f>
        <v>1</v>
      </c>
      <c r="T93" s="117">
        <f>F93-X93</f>
        <v>29.068259999999952</v>
      </c>
      <c r="U93" s="146" t="str">
        <f t="shared" si="34"/>
        <v>&gt; predict by 7</v>
      </c>
      <c r="V93" s="147">
        <v>179</v>
      </c>
      <c r="W93" s="147">
        <v>172</v>
      </c>
      <c r="X93" s="147">
        <v>475.12947000000003</v>
      </c>
      <c r="Y93" s="147">
        <v>4</v>
      </c>
      <c r="Z93" s="119" t="b">
        <f>D93=AA93</f>
        <v>1</v>
      </c>
      <c r="AA93" s="119" t="s">
        <v>216</v>
      </c>
      <c r="AB93" s="107" t="s">
        <v>216</v>
      </c>
      <c r="AC93" s="120">
        <v>2</v>
      </c>
      <c r="AD93" s="120" t="s">
        <v>1077</v>
      </c>
      <c r="AE93" s="120" t="s">
        <v>53</v>
      </c>
      <c r="AF93" s="121">
        <v>685.16237357000011</v>
      </c>
      <c r="AH93" s="2">
        <v>2</v>
      </c>
      <c r="AI93" s="122"/>
      <c r="AJ93" s="122"/>
      <c r="AK93" s="123"/>
      <c r="AL93" s="2" t="b">
        <f>AI93=D93</f>
        <v>0</v>
      </c>
    </row>
    <row r="94" spans="1:38">
      <c r="A94" s="2" t="s">
        <v>887</v>
      </c>
      <c r="B94" s="2">
        <v>3</v>
      </c>
      <c r="C94" s="137">
        <f>IF(J94=J92,"=1",IF(18=J93,"=2",3))</f>
        <v>3</v>
      </c>
      <c r="D94" s="138" t="s">
        <v>257</v>
      </c>
      <c r="E94" s="139" t="s">
        <v>252</v>
      </c>
      <c r="F94" s="140">
        <v>466.17872</v>
      </c>
      <c r="G94" s="140">
        <v>5</v>
      </c>
      <c r="H94" s="110" t="e">
        <f>IF(I94="No","Insufficient races",IF(I94="N/A","No runner",IF(C94="=1","Joint Winner",IF(C94="=2","Joint second","OK"))))</f>
        <v>#NAME?</v>
      </c>
      <c r="I94" s="110" t="e">
        <f>IF(D94="No Match","N/A",IF(G94&lt;G$4,"No","OK"))</f>
        <v>#NAME?</v>
      </c>
      <c r="J94" s="141">
        <v>466.17872</v>
      </c>
      <c r="K94" s="111" t="e">
        <f>IF(OR(D94="No match",I94="No"),"N/A",IF(P94=1,"OK",IF(AB94="No qualifing runner","No prev","No")))</f>
        <v>#NAME?</v>
      </c>
      <c r="L94" s="142">
        <v>0</v>
      </c>
      <c r="M94" s="143">
        <v>0</v>
      </c>
      <c r="N94" s="144">
        <v>0</v>
      </c>
      <c r="O94" s="143">
        <v>0</v>
      </c>
      <c r="P94" s="145">
        <v>1</v>
      </c>
      <c r="Q94" s="114"/>
      <c r="R94" s="115"/>
      <c r="S94" s="116">
        <f t="shared" si="35"/>
        <v>1</v>
      </c>
      <c r="T94" s="117">
        <f>F94-X94</f>
        <v>29.063247999999987</v>
      </c>
      <c r="U94" s="146" t="str">
        <f t="shared" si="34"/>
        <v>&gt; predict by 10</v>
      </c>
      <c r="V94" s="147">
        <v>162</v>
      </c>
      <c r="W94" s="147">
        <v>152</v>
      </c>
      <c r="X94" s="147">
        <v>437.11547200000001</v>
      </c>
      <c r="Y94" s="147">
        <v>5</v>
      </c>
      <c r="Z94" s="119" t="b">
        <f>D94=AA94</f>
        <v>1</v>
      </c>
      <c r="AA94" s="119" t="s">
        <v>257</v>
      </c>
      <c r="AB94" s="107" t="s">
        <v>1078</v>
      </c>
      <c r="AC94" s="120">
        <v>3</v>
      </c>
      <c r="AD94" s="120" t="s">
        <v>1079</v>
      </c>
      <c r="AE94" s="120" t="s">
        <v>50</v>
      </c>
      <c r="AF94" s="121">
        <v>628.13851293999994</v>
      </c>
      <c r="AH94" s="2">
        <v>3</v>
      </c>
      <c r="AI94" s="122"/>
      <c r="AJ94" s="122"/>
      <c r="AK94" s="123"/>
      <c r="AL94" s="2" t="b">
        <f>AI94=D94</f>
        <v>0</v>
      </c>
    </row>
    <row r="95" spans="1:38">
      <c r="F95" s="124"/>
      <c r="G95" s="124"/>
      <c r="H95" s="124"/>
      <c r="I95" s="124"/>
      <c r="J95" s="148"/>
      <c r="K95" s="125"/>
      <c r="L95" s="124"/>
      <c r="M95" s="124"/>
      <c r="N95" s="124"/>
      <c r="O95" s="124"/>
      <c r="P95" s="126"/>
      <c r="Q95" s="126"/>
      <c r="R95" s="126"/>
      <c r="S95" s="126"/>
      <c r="T95" s="124"/>
      <c r="U95" s="124"/>
      <c r="V95" s="124"/>
      <c r="W95" s="124"/>
      <c r="X95" s="119"/>
      <c r="Y95" s="119"/>
      <c r="Z95" s="119"/>
      <c r="AA95" s="119"/>
      <c r="AB95" s="107"/>
      <c r="AC95" s="127"/>
      <c r="AD95" s="127"/>
      <c r="AE95" s="127"/>
      <c r="AF95" s="128"/>
      <c r="AI95" s="107"/>
      <c r="AJ95" s="107"/>
      <c r="AK95" s="119"/>
    </row>
    <row r="96" spans="1:38">
      <c r="A96" s="72"/>
      <c r="B96" s="72"/>
      <c r="C96" s="104" t="s">
        <v>1080</v>
      </c>
      <c r="D96" s="104"/>
      <c r="E96" s="104"/>
      <c r="F96" s="129"/>
      <c r="G96" s="129"/>
      <c r="H96" s="105"/>
      <c r="I96" s="105"/>
      <c r="J96" s="149"/>
      <c r="K96" s="131"/>
      <c r="L96" s="105"/>
      <c r="M96" s="105"/>
      <c r="N96" s="105"/>
      <c r="O96" s="105"/>
      <c r="P96" s="132"/>
      <c r="Q96" s="132"/>
      <c r="R96" s="132"/>
      <c r="S96" s="132"/>
      <c r="T96" s="105"/>
      <c r="U96" s="105"/>
      <c r="V96" s="105"/>
      <c r="W96" s="105"/>
      <c r="X96" s="133"/>
      <c r="Y96" s="133"/>
      <c r="Z96" s="133"/>
      <c r="AA96" s="133"/>
      <c r="AB96" s="107"/>
      <c r="AC96" s="108" t="s">
        <v>1080</v>
      </c>
      <c r="AD96" s="108"/>
      <c r="AE96" s="108"/>
      <c r="AF96" s="134"/>
      <c r="AH96" s="2" t="s">
        <v>1080</v>
      </c>
      <c r="AI96" s="135"/>
      <c r="AJ96" s="135"/>
      <c r="AK96" s="136"/>
    </row>
    <row r="97" spans="1:38">
      <c r="A97" s="2" t="s">
        <v>909</v>
      </c>
      <c r="B97" s="2">
        <v>1</v>
      </c>
      <c r="C97" s="137">
        <f>IF(J97=J98,"=1",1)</f>
        <v>1</v>
      </c>
      <c r="D97" s="138" t="s">
        <v>259</v>
      </c>
      <c r="E97" s="139" t="s">
        <v>66</v>
      </c>
      <c r="F97" s="140">
        <v>442.17685999999998</v>
      </c>
      <c r="G97" s="140">
        <v>4</v>
      </c>
      <c r="H97" s="110" t="e">
        <f>IF(I97="No","Insufficient races",IF(I97="N/A","No runner",IF(C97="=1","Joint Winner",IF(C97="=2","Joint second","OK"))))</f>
        <v>#NAME?</v>
      </c>
      <c r="I97" s="110" t="e">
        <f>IF(D97="No Match","N/A",IF(G97&lt;G$4,"No","OK"))</f>
        <v>#NAME?</v>
      </c>
      <c r="J97" s="141">
        <v>442.17685999999998</v>
      </c>
      <c r="K97" s="111" t="e">
        <f>IF(OR(D97="No match",I97="No"),"N/A",IF(P97=1,"OK",IF(AB97="No qualifing runner","No prev","No")))</f>
        <v>#NAME?</v>
      </c>
      <c r="L97" s="142">
        <v>0</v>
      </c>
      <c r="M97" s="143">
        <v>0</v>
      </c>
      <c r="N97" s="144">
        <v>0</v>
      </c>
      <c r="O97" s="143">
        <v>0</v>
      </c>
      <c r="P97" s="145">
        <v>0</v>
      </c>
      <c r="Q97" s="114">
        <v>1</v>
      </c>
      <c r="R97" s="115" t="s">
        <v>1072</v>
      </c>
      <c r="S97" s="116">
        <f>MAX(P97:Q97)</f>
        <v>1</v>
      </c>
      <c r="T97" s="117">
        <f>F97-X97</f>
        <v>70.113374000000022</v>
      </c>
      <c r="U97" s="146" t="str">
        <f t="shared" ref="U97:U99" si="36">IF(V97&gt;W97,"&gt; predict by "&amp;V97-W97,"")</f>
        <v>&gt; predict by 16</v>
      </c>
      <c r="V97" s="147">
        <v>161</v>
      </c>
      <c r="W97" s="147">
        <v>145</v>
      </c>
      <c r="X97" s="147">
        <v>372.06348599999995</v>
      </c>
      <c r="Y97" s="147">
        <v>4</v>
      </c>
      <c r="Z97" s="119" t="b">
        <f>D97=AA97</f>
        <v>0</v>
      </c>
      <c r="AA97" s="119" t="s">
        <v>912</v>
      </c>
      <c r="AB97" s="107" t="s">
        <v>912</v>
      </c>
      <c r="AC97" s="120">
        <v>1</v>
      </c>
      <c r="AD97" s="120" t="s">
        <v>1081</v>
      </c>
      <c r="AE97" s="120" t="s">
        <v>93</v>
      </c>
      <c r="AF97" s="121">
        <v>578.98802280000007</v>
      </c>
      <c r="AH97" s="2">
        <v>1</v>
      </c>
      <c r="AI97" s="122"/>
      <c r="AJ97" s="122"/>
      <c r="AK97" s="123"/>
      <c r="AL97" s="2" t="b">
        <f>AI97=D97</f>
        <v>0</v>
      </c>
    </row>
    <row r="98" spans="1:38">
      <c r="A98" s="2" t="s">
        <v>910</v>
      </c>
      <c r="B98" s="2">
        <v>2</v>
      </c>
      <c r="C98" s="137">
        <f>IF(J98=J97,"=1",2)</f>
        <v>2</v>
      </c>
      <c r="D98" s="138" t="s">
        <v>912</v>
      </c>
      <c r="E98" s="139" t="s">
        <v>53</v>
      </c>
      <c r="F98" s="140">
        <v>428.17779999999999</v>
      </c>
      <c r="G98" s="140">
        <v>3</v>
      </c>
      <c r="H98" s="110" t="e">
        <f>IF(I98="No","Insufficient races",IF(I98="N/A","No runner",IF(C98="=1","Joint Winner",IF(C98="=2","Joint second","OK"))))</f>
        <v>#NAME?</v>
      </c>
      <c r="I98" s="110" t="e">
        <f>IF(D98="No Match","N/A",IF(G98&lt;G$4,"No","OK"))</f>
        <v>#NAME?</v>
      </c>
      <c r="J98" s="141">
        <v>428.17779999999999</v>
      </c>
      <c r="K98" s="111" t="e">
        <f>IF(OR(D98="No match",I98="No"),"N/A",IF(P98=1,"OK",IF(AB98="No qualifing runner","No prev","No")))</f>
        <v>#NAME?</v>
      </c>
      <c r="L98" s="142">
        <v>0</v>
      </c>
      <c r="M98" s="143">
        <v>0</v>
      </c>
      <c r="N98" s="144">
        <v>0</v>
      </c>
      <c r="O98" s="143">
        <v>0</v>
      </c>
      <c r="P98" s="145">
        <v>0</v>
      </c>
      <c r="Q98" s="114">
        <v>1</v>
      </c>
      <c r="R98" s="115" t="s">
        <v>1082</v>
      </c>
      <c r="S98" s="116">
        <f t="shared" ref="S98:S99" si="37">MAX(P98:Q98)</f>
        <v>1</v>
      </c>
      <c r="T98" s="117">
        <f>F98-X98</f>
        <v>3.2500000000027285E-2</v>
      </c>
      <c r="U98" s="146" t="str">
        <f t="shared" si="36"/>
        <v/>
      </c>
      <c r="V98" s="147">
        <v>0</v>
      </c>
      <c r="W98" s="147">
        <v>161</v>
      </c>
      <c r="X98" s="147">
        <v>428.14529999999996</v>
      </c>
      <c r="Y98" s="147">
        <v>3</v>
      </c>
      <c r="Z98" s="119" t="b">
        <f>D98=AA98</f>
        <v>0</v>
      </c>
      <c r="AA98" s="119" t="s">
        <v>913</v>
      </c>
      <c r="AB98" s="107" t="s">
        <v>1083</v>
      </c>
      <c r="AC98" s="120">
        <v>2</v>
      </c>
      <c r="AD98" s="120" t="s">
        <v>1084</v>
      </c>
      <c r="AE98" s="120" t="s">
        <v>118</v>
      </c>
      <c r="AF98" s="121">
        <v>541.1007158000001</v>
      </c>
      <c r="AH98" s="2">
        <v>2</v>
      </c>
      <c r="AI98" s="122"/>
      <c r="AJ98" s="122"/>
      <c r="AK98" s="123"/>
      <c r="AL98" s="2" t="b">
        <f>AI98=D98</f>
        <v>0</v>
      </c>
    </row>
    <row r="99" spans="1:38">
      <c r="A99" s="2" t="s">
        <v>911</v>
      </c>
      <c r="B99" s="2">
        <v>3</v>
      </c>
      <c r="C99" s="137">
        <f>IF(J99=J97,"=1",IF(18=J98,"=2",3))</f>
        <v>3</v>
      </c>
      <c r="D99" s="138" t="s">
        <v>282</v>
      </c>
      <c r="E99" s="139" t="s">
        <v>88</v>
      </c>
      <c r="F99" s="140">
        <v>404.16802000000001</v>
      </c>
      <c r="G99" s="140">
        <v>4</v>
      </c>
      <c r="H99" s="110" t="e">
        <f>IF(I99="No","Insufficient races",IF(I99="N/A","No runner",IF(C99="=1","Joint Winner",IF(C99="=2","Joint second","OK"))))</f>
        <v>#NAME?</v>
      </c>
      <c r="I99" s="110" t="e">
        <f>IF(D99="No Match","N/A",IF(G99&lt;G$4,"No","OK"))</f>
        <v>#NAME?</v>
      </c>
      <c r="J99" s="141">
        <v>404.16802000000001</v>
      </c>
      <c r="K99" s="111" t="e">
        <f>IF(OR(D99="No match",I99="No"),"N/A",IF(P99=1,"OK",IF(AB99="No qualifing runner","No prev","No")))</f>
        <v>#NAME?</v>
      </c>
      <c r="L99" s="142">
        <v>0</v>
      </c>
      <c r="M99" s="143">
        <v>0</v>
      </c>
      <c r="N99" s="144">
        <v>0</v>
      </c>
      <c r="O99" s="143">
        <v>0</v>
      </c>
      <c r="P99" s="145">
        <v>1</v>
      </c>
      <c r="Q99" s="114"/>
      <c r="R99" s="115"/>
      <c r="S99" s="116">
        <f t="shared" si="37"/>
        <v>1</v>
      </c>
      <c r="T99" s="117">
        <f>F99-X99</f>
        <v>54.18581800000004</v>
      </c>
      <c r="U99" s="146" t="str">
        <f t="shared" si="36"/>
        <v>&gt; predict by 26</v>
      </c>
      <c r="V99" s="147">
        <v>154</v>
      </c>
      <c r="W99" s="147">
        <v>128</v>
      </c>
      <c r="X99" s="147">
        <v>349.98220199999997</v>
      </c>
      <c r="Y99" s="147">
        <v>4</v>
      </c>
      <c r="Z99" s="119" t="b">
        <f>D99=AA99</f>
        <v>0</v>
      </c>
      <c r="AA99" s="119" t="s">
        <v>259</v>
      </c>
      <c r="AB99" s="107" t="s">
        <v>1085</v>
      </c>
      <c r="AC99" s="120">
        <v>3</v>
      </c>
      <c r="AD99" s="120" t="s">
        <v>1086</v>
      </c>
      <c r="AE99" s="120" t="s">
        <v>88</v>
      </c>
      <c r="AF99" s="121">
        <v>476.07417299999997</v>
      </c>
      <c r="AH99" s="2">
        <v>3</v>
      </c>
      <c r="AI99" s="122"/>
      <c r="AJ99" s="122"/>
      <c r="AK99" s="123"/>
      <c r="AL99" s="2" t="b">
        <f>AI99=D99</f>
        <v>0</v>
      </c>
    </row>
    <row r="100" spans="1:38">
      <c r="F100" s="124"/>
      <c r="G100" s="124"/>
      <c r="H100" s="124"/>
      <c r="I100" s="124"/>
      <c r="J100" s="148"/>
      <c r="K100" s="125"/>
      <c r="L100" s="124"/>
      <c r="M100" s="124"/>
      <c r="N100" s="124"/>
      <c r="O100" s="124"/>
      <c r="P100" s="126"/>
      <c r="Q100" s="126"/>
      <c r="R100" s="126"/>
      <c r="S100" s="126"/>
      <c r="T100" s="124"/>
      <c r="U100" s="124"/>
      <c r="V100" s="124"/>
      <c r="W100" s="124"/>
      <c r="X100" s="119"/>
      <c r="Y100" s="119"/>
      <c r="Z100" s="119"/>
      <c r="AA100" s="119"/>
      <c r="AB100" s="107"/>
      <c r="AC100" s="127"/>
      <c r="AD100" s="127"/>
      <c r="AE100" s="127"/>
      <c r="AF100" s="128"/>
      <c r="AI100" s="107"/>
      <c r="AJ100" s="107"/>
      <c r="AK100" s="119"/>
    </row>
    <row r="101" spans="1:38">
      <c r="A101" s="72"/>
      <c r="B101" s="72"/>
      <c r="C101" s="104" t="s">
        <v>1087</v>
      </c>
      <c r="D101" s="104"/>
      <c r="E101" s="104"/>
      <c r="F101" s="129"/>
      <c r="G101" s="129"/>
      <c r="H101" s="105"/>
      <c r="I101" s="105"/>
      <c r="J101" s="149"/>
      <c r="K101" s="131"/>
      <c r="L101" s="105"/>
      <c r="M101" s="105"/>
      <c r="N101" s="105"/>
      <c r="O101" s="105"/>
      <c r="P101" s="132"/>
      <c r="Q101" s="132"/>
      <c r="R101" s="132"/>
      <c r="S101" s="132"/>
      <c r="T101" s="105"/>
      <c r="U101" s="105"/>
      <c r="V101" s="105"/>
      <c r="W101" s="105"/>
      <c r="X101" s="119"/>
      <c r="Y101" s="119"/>
      <c r="Z101" s="119"/>
      <c r="AA101" s="119"/>
      <c r="AB101" s="107"/>
      <c r="AC101" s="108" t="s">
        <v>1087</v>
      </c>
      <c r="AD101" s="108"/>
      <c r="AE101" s="108"/>
      <c r="AF101" s="134"/>
      <c r="AH101" s="1" t="s">
        <v>1087</v>
      </c>
      <c r="AI101" s="135"/>
      <c r="AJ101" s="135"/>
      <c r="AK101" s="136"/>
    </row>
    <row r="102" spans="1:38">
      <c r="A102" s="2" t="s">
        <v>919</v>
      </c>
      <c r="B102" s="2">
        <v>1</v>
      </c>
      <c r="C102" s="137">
        <f>IF(J102=J103,"=1",1)</f>
        <v>1</v>
      </c>
      <c r="D102" s="138" t="s">
        <v>278</v>
      </c>
      <c r="E102" s="139" t="s">
        <v>118</v>
      </c>
      <c r="F102" s="140">
        <v>405.16946999999999</v>
      </c>
      <c r="G102" s="140">
        <v>5</v>
      </c>
      <c r="H102" s="110" t="e">
        <f>IF(I102="No","Insufficient races",IF(I102="N/A","No runner",IF(C102="=1","Joint Winner",IF(C102="=2","Joint second","OK"))))</f>
        <v>#NAME?</v>
      </c>
      <c r="I102" s="110" t="e">
        <f>IF(D102="No Match","N/A",IF(G102&lt;G$4,"No","OK"))</f>
        <v>#NAME?</v>
      </c>
      <c r="J102" s="141">
        <v>405.16946999999999</v>
      </c>
      <c r="K102" s="111" t="e">
        <f>IF(OR(D102="No match",I102="No"),"N/A",IF(P102=1,"OK",IF(AB102="No qualifing runner","No prev","No")))</f>
        <v>#NAME?</v>
      </c>
      <c r="L102" s="142">
        <v>0</v>
      </c>
      <c r="M102" s="143">
        <v>0</v>
      </c>
      <c r="N102" s="144">
        <v>0</v>
      </c>
      <c r="O102" s="143">
        <v>0</v>
      </c>
      <c r="P102" s="145">
        <v>1</v>
      </c>
      <c r="Q102" s="114"/>
      <c r="R102" s="115"/>
      <c r="S102" s="116">
        <f>MAX(P102:Q102)</f>
        <v>1</v>
      </c>
      <c r="T102" s="117">
        <f>F102-X102</f>
        <v>44.085023000000035</v>
      </c>
      <c r="U102" s="146" t="str">
        <f t="shared" ref="U102:U104" si="38">IF(V102&gt;W102,"&gt; predict by "&amp;V102-W102,"")</f>
        <v>&gt; predict by 22</v>
      </c>
      <c r="V102" s="147">
        <v>155</v>
      </c>
      <c r="W102" s="147">
        <v>133</v>
      </c>
      <c r="X102" s="147">
        <v>361.08444699999995</v>
      </c>
      <c r="Y102" s="147">
        <v>5</v>
      </c>
      <c r="Z102" s="119" t="b">
        <f>D102=AA102</f>
        <v>1</v>
      </c>
      <c r="AA102" s="119" t="s">
        <v>278</v>
      </c>
      <c r="AB102" s="107" t="s">
        <v>278</v>
      </c>
      <c r="AC102" s="120">
        <v>1</v>
      </c>
      <c r="AD102" s="120" t="s">
        <v>1088</v>
      </c>
      <c r="AE102" s="120" t="s">
        <v>88</v>
      </c>
      <c r="AF102" s="121">
        <v>441.06387688000007</v>
      </c>
      <c r="AH102" s="2">
        <v>1</v>
      </c>
      <c r="AI102" s="122"/>
      <c r="AJ102" s="122"/>
      <c r="AK102" s="123"/>
      <c r="AL102" s="2" t="b">
        <f>AI102=D102</f>
        <v>0</v>
      </c>
    </row>
    <row r="103" spans="1:38">
      <c r="A103" s="2" t="s">
        <v>920</v>
      </c>
      <c r="B103" s="2">
        <v>2</v>
      </c>
      <c r="C103" s="137">
        <f>IF(J103=J102,"=1",2)</f>
        <v>2</v>
      </c>
      <c r="D103" s="138" t="s">
        <v>296</v>
      </c>
      <c r="E103" s="139" t="s">
        <v>93</v>
      </c>
      <c r="F103" s="140">
        <v>357.16233</v>
      </c>
      <c r="G103" s="140">
        <v>4</v>
      </c>
      <c r="H103" s="110" t="e">
        <f>IF(I103="No","Insufficient races",IF(I103="N/A","No runner",IF(C103="=1","Joint Winner",IF(C103="=2","Joint second","OK"))))</f>
        <v>#NAME?</v>
      </c>
      <c r="I103" s="110" t="e">
        <f>IF(D103="No Match","N/A",IF(G103&lt;G$4,"No","OK"))</f>
        <v>#NAME?</v>
      </c>
      <c r="J103" s="141">
        <v>357.16233</v>
      </c>
      <c r="K103" s="111" t="e">
        <f>IF(OR(D103="No match",I103="No"),"N/A",IF(P103=1,"OK",IF(AB103="No qualifing runner","No prev","No")))</f>
        <v>#NAME?</v>
      </c>
      <c r="L103" s="142">
        <v>0</v>
      </c>
      <c r="M103" s="143">
        <v>0</v>
      </c>
      <c r="N103" s="144">
        <v>0</v>
      </c>
      <c r="O103" s="143">
        <v>0</v>
      </c>
      <c r="P103" s="145">
        <v>1</v>
      </c>
      <c r="Q103" s="114"/>
      <c r="R103" s="115"/>
      <c r="S103" s="116">
        <f t="shared" ref="S103:S104" si="39">MAX(P103:Q103)</f>
        <v>1</v>
      </c>
      <c r="T103" s="117">
        <f>F103-X103</f>
        <v>77.184097000000008</v>
      </c>
      <c r="U103" s="146" t="str">
        <f t="shared" si="38"/>
        <v>&gt; predict by 36</v>
      </c>
      <c r="V103" s="147">
        <v>150</v>
      </c>
      <c r="W103" s="147">
        <v>114</v>
      </c>
      <c r="X103" s="147">
        <v>279.97823299999999</v>
      </c>
      <c r="Y103" s="147">
        <v>4</v>
      </c>
      <c r="Z103" s="119" t="b">
        <f>D103=AA103</f>
        <v>0</v>
      </c>
      <c r="AA103" s="119" t="s">
        <v>922</v>
      </c>
      <c r="AB103" s="107" t="s">
        <v>1089</v>
      </c>
      <c r="AC103" s="120">
        <v>2</v>
      </c>
      <c r="AD103" s="120" t="s">
        <v>1090</v>
      </c>
      <c r="AE103" s="120" t="s">
        <v>93</v>
      </c>
      <c r="AF103" s="121">
        <v>414.04915070000004</v>
      </c>
      <c r="AH103" s="2">
        <v>2</v>
      </c>
      <c r="AI103" s="122"/>
      <c r="AJ103" s="122"/>
      <c r="AK103" s="123"/>
      <c r="AL103" s="2" t="b">
        <f>AI103=D103</f>
        <v>0</v>
      </c>
    </row>
    <row r="104" spans="1:38">
      <c r="A104" s="2" t="s">
        <v>921</v>
      </c>
      <c r="B104" s="2">
        <v>3</v>
      </c>
      <c r="C104" s="137">
        <f>IF(J104=J102,"=1",IF(18=J103,"=2",3))</f>
        <v>3</v>
      </c>
      <c r="D104" s="138" t="s">
        <v>922</v>
      </c>
      <c r="E104" s="139" t="s">
        <v>88</v>
      </c>
      <c r="F104" s="140">
        <v>285.12407999999999</v>
      </c>
      <c r="G104" s="140">
        <v>3</v>
      </c>
      <c r="H104" s="110" t="e">
        <f>IF(I104="No","Insufficient races",IF(I104="N/A","No runner",IF(C104="=1","Joint Winner",IF(C104="=2","Joint second","OK"))))</f>
        <v>#NAME?</v>
      </c>
      <c r="I104" s="110" t="e">
        <f>IF(D104="No Match","N/A",IF(G104&lt;G$4,"No","OK"))</f>
        <v>#NAME?</v>
      </c>
      <c r="J104" s="141">
        <v>285.12407999999999</v>
      </c>
      <c r="K104" s="111" t="e">
        <f>IF(OR(D104="No match",I104="No"),"N/A",IF(P104=1,"OK",IF(AB104="No qualifing runner","No prev","No")))</f>
        <v>#NAME?</v>
      </c>
      <c r="L104" s="142">
        <v>0</v>
      </c>
      <c r="M104" s="143">
        <v>0</v>
      </c>
      <c r="N104" s="144">
        <v>0</v>
      </c>
      <c r="O104" s="143">
        <v>0</v>
      </c>
      <c r="P104" s="145">
        <v>1</v>
      </c>
      <c r="Q104" s="114"/>
      <c r="R104" s="115"/>
      <c r="S104" s="116">
        <f t="shared" si="39"/>
        <v>1</v>
      </c>
      <c r="T104" s="117">
        <f>F104-X104</f>
        <v>0.14268199999997933</v>
      </c>
      <c r="U104" s="146" t="str">
        <f t="shared" si="38"/>
        <v/>
      </c>
      <c r="V104" s="147">
        <v>0</v>
      </c>
      <c r="W104" s="147">
        <v>113</v>
      </c>
      <c r="X104" s="147">
        <v>284.98139800000001</v>
      </c>
      <c r="Y104" s="147">
        <v>3</v>
      </c>
      <c r="Z104" s="119" t="b">
        <f>D104=AA104</f>
        <v>0</v>
      </c>
      <c r="AA104" s="119" t="s">
        <v>296</v>
      </c>
      <c r="AB104" s="107" t="s">
        <v>1089</v>
      </c>
      <c r="AC104" s="120">
        <v>3</v>
      </c>
      <c r="AD104" s="120" t="s">
        <v>1091</v>
      </c>
      <c r="AE104" s="120" t="s">
        <v>88</v>
      </c>
      <c r="AF104" s="121">
        <v>398.05821199999991</v>
      </c>
      <c r="AH104" s="2">
        <v>3</v>
      </c>
      <c r="AI104" s="122"/>
      <c r="AJ104" s="122"/>
      <c r="AK104" s="123"/>
      <c r="AL104" s="2" t="b">
        <f>AI104=D104</f>
        <v>0</v>
      </c>
    </row>
    <row r="105" spans="1:38">
      <c r="C105" s="154"/>
      <c r="D105" s="155"/>
      <c r="E105" s="155"/>
      <c r="F105" s="156"/>
      <c r="G105" s="157"/>
      <c r="H105" s="157"/>
      <c r="I105" s="157"/>
      <c r="J105" s="158"/>
      <c r="K105" s="146"/>
      <c r="L105" s="157"/>
      <c r="M105" s="157"/>
      <c r="N105" s="157"/>
      <c r="O105" s="157"/>
      <c r="P105" s="159"/>
      <c r="Q105" s="159"/>
      <c r="R105" s="159"/>
      <c r="S105" s="159"/>
      <c r="T105" s="157"/>
      <c r="U105" s="157"/>
      <c r="V105" s="157"/>
      <c r="W105" s="157"/>
      <c r="X105" s="119"/>
      <c r="Y105" s="119"/>
      <c r="Z105" s="119"/>
      <c r="AA105" s="119"/>
      <c r="AB105" s="107"/>
      <c r="AC105" s="160"/>
      <c r="AD105" s="160"/>
      <c r="AE105" s="160"/>
      <c r="AF105" s="161"/>
      <c r="AI105" s="107"/>
      <c r="AJ105" s="107"/>
      <c r="AK105" s="119"/>
    </row>
    <row r="106" spans="1:38">
      <c r="B106" s="72"/>
      <c r="C106" s="104" t="s">
        <v>1092</v>
      </c>
      <c r="D106" s="104"/>
      <c r="E106" s="104"/>
      <c r="F106" s="129"/>
      <c r="G106" s="105"/>
      <c r="H106" s="105"/>
      <c r="I106" s="105"/>
      <c r="J106" s="149"/>
      <c r="K106" s="131"/>
      <c r="L106" s="105"/>
      <c r="M106" s="105"/>
      <c r="N106" s="105"/>
      <c r="O106" s="105"/>
      <c r="P106" s="132"/>
      <c r="Q106" s="132"/>
      <c r="R106" s="132"/>
      <c r="S106" s="132"/>
      <c r="T106" s="105"/>
      <c r="U106" s="105"/>
      <c r="V106" s="105"/>
      <c r="W106" s="105"/>
      <c r="X106" s="133"/>
      <c r="Y106" s="133"/>
      <c r="Z106" s="133"/>
      <c r="AA106" s="133"/>
      <c r="AB106" s="107"/>
      <c r="AC106" s="108" t="s">
        <v>1092</v>
      </c>
      <c r="AD106" s="108"/>
      <c r="AE106" s="108"/>
      <c r="AF106" s="134"/>
      <c r="AH106" s="2" t="s">
        <v>1092</v>
      </c>
      <c r="AI106" s="135"/>
      <c r="AJ106" s="135"/>
      <c r="AK106" s="136"/>
    </row>
    <row r="107" spans="1:38">
      <c r="B107" s="3">
        <v>1</v>
      </c>
      <c r="C107" s="3">
        <v>1</v>
      </c>
      <c r="D107" s="138" t="s">
        <v>20</v>
      </c>
      <c r="E107" s="138"/>
      <c r="F107" s="162">
        <v>5.0111109999999996</v>
      </c>
      <c r="G107" s="157"/>
      <c r="H107" s="110" t="str">
        <f>IF(I107="No","Insufficient races",IF(I107="N/A","No runner",IF(C107="=1","Joint Winner",IF(C107="=2","Joint second","OK"))))</f>
        <v>OK</v>
      </c>
      <c r="I107" s="157"/>
      <c r="J107" s="141">
        <v>5.0011111000000001</v>
      </c>
      <c r="K107" s="112"/>
      <c r="L107" s="112"/>
      <c r="M107" s="112"/>
      <c r="N107" s="112"/>
      <c r="O107" s="112"/>
      <c r="P107" s="112"/>
      <c r="Q107" s="112"/>
      <c r="R107" s="112"/>
      <c r="S107" s="112"/>
      <c r="T107" s="117">
        <f>F107-X107</f>
        <v>1.0000010000000001</v>
      </c>
      <c r="U107" s="117"/>
      <c r="V107" s="112"/>
      <c r="W107" s="112"/>
      <c r="X107" s="157">
        <v>4.0111099999999995</v>
      </c>
      <c r="Y107" s="119"/>
      <c r="Z107" s="119" t="b">
        <f>D107=AA107</f>
        <v>1</v>
      </c>
      <c r="AA107" s="119" t="s">
        <v>20</v>
      </c>
      <c r="AB107" s="107"/>
      <c r="AC107" s="153">
        <v>1</v>
      </c>
      <c r="AD107" s="153" t="s">
        <v>38</v>
      </c>
      <c r="AE107" s="153"/>
      <c r="AF107" s="163">
        <v>10.011121999999999</v>
      </c>
      <c r="AH107" s="2">
        <v>1</v>
      </c>
      <c r="AI107" s="122"/>
      <c r="AJ107" s="122"/>
      <c r="AK107" s="123"/>
      <c r="AL107" s="2" t="b">
        <v>1</v>
      </c>
    </row>
    <row r="108" spans="1:38">
      <c r="B108" s="3">
        <f>1+IF(INT(F108)&gt;INT(F107),1,0)</f>
        <v>2</v>
      </c>
      <c r="C108" s="3">
        <f>1+IF(INT(F108)&gt;INT(F107),1,0)</f>
        <v>2</v>
      </c>
      <c r="D108" s="138" t="s">
        <v>50</v>
      </c>
      <c r="E108" s="138"/>
      <c r="F108" s="162">
        <v>15.022245</v>
      </c>
      <c r="G108" s="157"/>
      <c r="H108" s="110" t="str">
        <f>IF(I108="No","Insufficient races",IF(I108="N/A","No runner",IF(C108="=1","Joint Winner",IF(C108="=2","Joint second","OK"))))</f>
        <v>OK</v>
      </c>
      <c r="I108" s="157"/>
      <c r="J108" s="141">
        <v>15.002224500000001</v>
      </c>
      <c r="K108" s="112"/>
      <c r="L108" s="112"/>
      <c r="M108" s="112"/>
      <c r="N108" s="112"/>
      <c r="O108" s="112"/>
      <c r="P108" s="112"/>
      <c r="Q108" s="112"/>
      <c r="R108" s="112"/>
      <c r="S108" s="112"/>
      <c r="T108" s="117">
        <f>F108-X108</f>
        <v>3.9999950000000002</v>
      </c>
      <c r="U108" s="117"/>
      <c r="V108" s="112"/>
      <c r="W108" s="112"/>
      <c r="X108" s="157">
        <v>11.02225</v>
      </c>
      <c r="Y108" s="119"/>
      <c r="Z108" s="119" t="b">
        <f>D108=AA108</f>
        <v>1</v>
      </c>
      <c r="AA108" s="119" t="s">
        <v>50</v>
      </c>
      <c r="AB108" s="107"/>
      <c r="AC108" s="153">
        <v>2</v>
      </c>
      <c r="AD108" s="153" t="s">
        <v>20</v>
      </c>
      <c r="AE108" s="153"/>
      <c r="AF108" s="163">
        <v>16.011234000000002</v>
      </c>
      <c r="AH108" s="2">
        <v>2</v>
      </c>
      <c r="AI108" s="122"/>
      <c r="AJ108" s="122"/>
      <c r="AK108" s="123"/>
      <c r="AL108" s="2" t="b">
        <v>1</v>
      </c>
    </row>
    <row r="109" spans="1:38">
      <c r="B109" s="3">
        <f>1+IF(INT(F109)&gt;INT(F107),1,0)+IF(INT(F109)&gt;INT(F108),1,0)</f>
        <v>3</v>
      </c>
      <c r="C109" s="3">
        <f>1+IF(INT(F109)&gt;INT(F107),1,0)+IF(INT(F109)&gt;INT(F108),1,0)</f>
        <v>3</v>
      </c>
      <c r="D109" s="138" t="s">
        <v>38</v>
      </c>
      <c r="E109" s="138"/>
      <c r="F109" s="162">
        <v>16.023334999999999</v>
      </c>
      <c r="G109" s="157"/>
      <c r="H109" s="110" t="str">
        <f>IF(I109="No","Insufficient races",IF(I109="N/A","No runner",IF(C109="=1","Joint Winner",IF(C109="=2","Joint second","OK"))))</f>
        <v>OK</v>
      </c>
      <c r="I109" s="157"/>
      <c r="J109" s="141">
        <v>16.002333499999995</v>
      </c>
      <c r="K109" s="112"/>
      <c r="L109" s="112"/>
      <c r="M109" s="112"/>
      <c r="N109" s="112"/>
      <c r="O109" s="112"/>
      <c r="P109" s="112"/>
      <c r="Q109" s="112"/>
      <c r="R109" s="112"/>
      <c r="S109" s="112"/>
      <c r="T109" s="117">
        <f>F109-X109</f>
        <v>2.9999850000000006</v>
      </c>
      <c r="U109" s="117"/>
      <c r="V109" s="112"/>
      <c r="W109" s="112"/>
      <c r="X109" s="157">
        <v>13.023349999999999</v>
      </c>
      <c r="Y109" s="119"/>
      <c r="Z109" s="119" t="b">
        <f>D109=AA109</f>
        <v>1</v>
      </c>
      <c r="AA109" s="119" t="s">
        <v>38</v>
      </c>
      <c r="AB109" s="107"/>
      <c r="AC109" s="153">
        <v>3</v>
      </c>
      <c r="AD109" s="153" t="s">
        <v>58</v>
      </c>
      <c r="AE109" s="153"/>
      <c r="AF109" s="163">
        <v>20.012345</v>
      </c>
      <c r="AG109" s="2" t="s">
        <v>1093</v>
      </c>
      <c r="AH109" s="2">
        <v>3</v>
      </c>
      <c r="AI109" s="122"/>
      <c r="AJ109" s="122"/>
      <c r="AK109" s="123"/>
      <c r="AL109" s="2" t="b">
        <v>1</v>
      </c>
    </row>
    <row r="110" spans="1:38">
      <c r="B110" s="3">
        <f>1+IF(INT(F110)&gt;INT(F107),1,0)+IF(INT(F110)&gt;INT(F108),1,0)+IF(INT(F110)&gt;INT(F109),1,0)</f>
        <v>3</v>
      </c>
      <c r="C110" s="3">
        <f>1+IF(INT(F110)&gt;INT(F107),1,0)+IF(INT(F110)&gt;INT(F108),1,0)+IF(INT(F110)&gt;INT(F109),1,0)</f>
        <v>3</v>
      </c>
      <c r="D110" s="138" t="s">
        <v>62</v>
      </c>
      <c r="E110" s="138"/>
      <c r="F110" s="162">
        <v>16.023343999999998</v>
      </c>
      <c r="G110" s="157"/>
      <c r="H110" s="110" t="str">
        <f>IF(I110="No","Insufficient races",IF(I110="N/A","No runner",IF(C110="=1","Joint Winner",IF(C110="=2","Joint second","OK"))))</f>
        <v>OK</v>
      </c>
      <c r="I110" s="157"/>
      <c r="J110" s="141">
        <v>16.002334399999999</v>
      </c>
      <c r="K110" s="112"/>
      <c r="L110" s="112"/>
      <c r="M110" s="112"/>
      <c r="N110" s="112"/>
      <c r="O110" s="112"/>
      <c r="P110" s="112"/>
      <c r="Q110" s="112"/>
      <c r="R110" s="112"/>
      <c r="S110" s="112"/>
      <c r="T110" s="117">
        <f>F110-X110</f>
        <v>1.9899039999999975</v>
      </c>
      <c r="U110" s="117"/>
      <c r="V110" s="112"/>
      <c r="W110" s="112"/>
      <c r="X110" s="157">
        <v>14.033440000000001</v>
      </c>
      <c r="Y110" s="119"/>
      <c r="Z110" s="119" t="b">
        <f>D110=AA110</f>
        <v>1</v>
      </c>
      <c r="AA110" s="119" t="s">
        <v>62</v>
      </c>
      <c r="AB110" s="107"/>
      <c r="AC110" s="153">
        <v>4</v>
      </c>
      <c r="AD110" s="153" t="s">
        <v>26</v>
      </c>
      <c r="AE110" s="153"/>
      <c r="AF110" s="163">
        <v>25.023455000000002</v>
      </c>
      <c r="AG110" s="2" t="s">
        <v>1093</v>
      </c>
      <c r="AH110" s="2">
        <v>4</v>
      </c>
      <c r="AI110" s="122"/>
      <c r="AJ110" s="122"/>
      <c r="AK110" s="123"/>
      <c r="AL110" s="2" t="b">
        <v>1</v>
      </c>
    </row>
    <row r="111" spans="1:38">
      <c r="B111" s="3">
        <f>1+IF(INT(F111)&gt;INT(F107),1,0)+IF(INT(F111)&gt;INT(F108),1,0)+IF(INT(F111)&gt;INT(F109),1,0)+IF(INT(F111)&gt;INT(F110),1,0)</f>
        <v>5</v>
      </c>
      <c r="C111" s="3">
        <f>1+IF(INT(F111)&gt;INT(F107),1,0)+IF(INT(F111)&gt;INT(F108),1,0)+IF(INT(F111)&gt;INT(F109),1,0)+IF(INT(F111)&gt;INT(F110),1,0)</f>
        <v>5</v>
      </c>
      <c r="D111" s="138" t="s">
        <v>58</v>
      </c>
      <c r="E111" s="138"/>
      <c r="F111" s="162">
        <v>28.044578000000001</v>
      </c>
      <c r="G111" s="157"/>
      <c r="H111" s="110" t="str">
        <f>IF(I111="No","Insufficient races",IF(I111="N/A","No runner",IF(C111="=1","Joint Winner",IF(C111="=2","Joint second","OK"))))</f>
        <v>OK</v>
      </c>
      <c r="I111" s="157"/>
      <c r="J111" s="141">
        <v>28.004457800000001</v>
      </c>
      <c r="K111" s="112"/>
      <c r="L111" s="112"/>
      <c r="M111" s="112"/>
      <c r="N111" s="112"/>
      <c r="O111" s="112"/>
      <c r="P111" s="112"/>
      <c r="Q111" s="112"/>
      <c r="R111" s="112"/>
      <c r="S111" s="112"/>
      <c r="T111" s="117">
        <f>F111-X111</f>
        <v>8.0000080000000011</v>
      </c>
      <c r="U111" s="117"/>
      <c r="V111" s="112"/>
      <c r="W111" s="112"/>
      <c r="X111" s="157">
        <v>20.04457</v>
      </c>
      <c r="Y111" s="119"/>
      <c r="Z111" s="119" t="b">
        <f>D111=AA111</f>
        <v>1</v>
      </c>
      <c r="AA111" s="119" t="s">
        <v>58</v>
      </c>
      <c r="AB111" s="107"/>
      <c r="AC111" s="153">
        <v>5</v>
      </c>
      <c r="AD111" s="153" t="s">
        <v>118</v>
      </c>
      <c r="AE111" s="153"/>
      <c r="AF111" s="163">
        <v>32.034665999999994</v>
      </c>
      <c r="AH111" s="2">
        <v>5</v>
      </c>
      <c r="AI111" s="122"/>
      <c r="AJ111" s="122"/>
      <c r="AK111" s="123"/>
      <c r="AL111" s="2" t="b">
        <v>1</v>
      </c>
    </row>
    <row r="113" spans="2:4">
      <c r="D113" s="1" t="s">
        <v>1094</v>
      </c>
    </row>
    <row r="114" spans="2:4">
      <c r="D114" s="1" t="s">
        <v>1095</v>
      </c>
    </row>
    <row r="115" spans="2:4" ht="3" customHeight="1">
      <c r="D115" s="1"/>
    </row>
    <row r="116" spans="2:4">
      <c r="D116" s="1" t="s">
        <v>1096</v>
      </c>
    </row>
    <row r="117" spans="2:4">
      <c r="D117" s="1" t="s">
        <v>1097</v>
      </c>
    </row>
    <row r="118" spans="2:4" ht="3" customHeight="1">
      <c r="D118" s="1"/>
    </row>
    <row r="119" spans="2:4">
      <c r="D119" s="1" t="e">
        <f>"Note 3: runners must have completed at least "&amp;G4&amp;" races to qualify for an award"</f>
        <v>#NAME?</v>
      </c>
    </row>
    <row r="120" spans="2:4" ht="3" customHeight="1">
      <c r="D120" s="1"/>
    </row>
    <row r="121" spans="2:4">
      <c r="D121" s="1" t="s">
        <v>1098</v>
      </c>
    </row>
    <row r="122" spans="2:4">
      <c r="D122" s="1" t="s">
        <v>1099</v>
      </c>
    </row>
    <row r="123" spans="2:4">
      <c r="D123" s="1" t="s">
        <v>1100</v>
      </c>
    </row>
    <row r="124" spans="2:4">
      <c r="D124" s="1" t="s">
        <v>1101</v>
      </c>
    </row>
    <row r="125" spans="2:4">
      <c r="B125" s="72"/>
      <c r="D125" s="1" t="s">
        <v>1102</v>
      </c>
    </row>
    <row r="126" spans="2:4">
      <c r="D126" s="1" t="s">
        <v>1103</v>
      </c>
    </row>
    <row r="127" spans="2:4">
      <c r="D127" s="1" t="s">
        <v>1104</v>
      </c>
    </row>
  </sheetData>
  <conditionalFormatting sqref="K7:O9 K57:O59 K4:O4 K12:O12 J13:O14 H102:O104 H97:O99 H92:O94 H87:O89 H82:O84 H77:O79 H72:O74 H67:O69 H62:O64 H52:O54 H47:O49 H42:O44 H37:O39 H32:O34 H22:O24 H17:O19 H12:I14 H7:I9 J8:J9 H107:H111 J107:S111 U57:W59 V107:W111 U7:W9 H27:O29">
    <cfRule type="containsText" dxfId="41" priority="12" operator="containsText" text="OK">
      <formula>NOT(ISERROR(SEARCH("OK",H4)))</formula>
    </cfRule>
  </conditionalFormatting>
  <conditionalFormatting sqref="L22:O24 L12:O14 L32:O34 L37:O39 L42:O44 L47:O49 L52:O54 L62:O64 L72:O74 L77:O79 L82:O84 L87:O89 L92:O94 L97:O99 L102:O104 L17:O19 L67:O69 L27:O29">
    <cfRule type="containsText" dxfId="40" priority="11" operator="containsText" text="Query">
      <formula>NOT(ISERROR(SEARCH("Query",L12)))</formula>
    </cfRule>
  </conditionalFormatting>
  <conditionalFormatting sqref="L22:O24 L12:O14 L32:O34 L37:O39 L42:O44 L47:O49 L52:O54 L62:O64 L72:O74 L77:O79 L82:O84 L87:O89 L92:O94 L97:O99 L102:O104 L17:O19 L67:O69 L27:O29">
    <cfRule type="cellIs" priority="9" operator="greaterThan">
      <formula>0</formula>
    </cfRule>
    <cfRule type="containsText" dxfId="39" priority="10" operator="containsText" text="OK">
      <formula>NOT(ISERROR(SEARCH("OK",L12)))</formula>
    </cfRule>
  </conditionalFormatting>
  <conditionalFormatting sqref="L62:O64 L72:O74 L77:O79 L82:O84 L87:O89 L92:O94 L97:O99 L102:O104 L67:O69">
    <cfRule type="cellIs" dxfId="38" priority="7" operator="greaterThan">
      <formula>0</formula>
    </cfRule>
    <cfRule type="containsText" dxfId="37" priority="8" operator="containsText" text="OK">
      <formula>NOT(ISERROR(SEARCH("OK",L62)))</formula>
    </cfRule>
  </conditionalFormatting>
  <conditionalFormatting sqref="K7:K9 K57:K59 K12:K14 K17:K19 K22:K24 K27:K29 K32:K34 K37:K39 K42:K44 K47:K49 K52:K54 K62:K64 K67:K69 K72:K74 K77:K79 K82:K84 K87:K89 K92:K94 K97:K99 K102:K104">
    <cfRule type="containsText" dxfId="36" priority="5" operator="containsText" text="No prev">
      <formula>NOT(ISERROR(SEARCH("No prev",K7)))</formula>
    </cfRule>
    <cfRule type="containsText" dxfId="35" priority="6" operator="containsText" text="N/A">
      <formula>NOT(ISERROR(SEARCH("N/A",K7)))</formula>
    </cfRule>
  </conditionalFormatting>
  <conditionalFormatting sqref="K4">
    <cfRule type="containsText" dxfId="34" priority="3" operator="containsText" text="Queries">
      <formula>NOT(ISERROR(SEARCH("Queries",K4)))</formula>
    </cfRule>
    <cfRule type="containsText" dxfId="33" priority="4" operator="containsText" text="OK">
      <formula>NOT(ISERROR(SEARCH("OK",K4)))</formula>
    </cfRule>
  </conditionalFormatting>
  <conditionalFormatting sqref="H7 H12:H14 H17:H19 H22:H24 H27:H29 H32:H34 H37:H39 H42:H44 H47:H49 H52:H54 H62:H64 H67:H69 H72:H74 H77:H79 H82:H84 H87:H89 H92:H94 H97:H99 H102:H104 H107:H111">
    <cfRule type="containsText" dxfId="32" priority="2" operator="containsText" text="Joint">
      <formula>NOT(ISERROR(SEARCH("Joint",H7)))</formula>
    </cfRule>
  </conditionalFormatting>
  <conditionalFormatting sqref="H7 H12:H14 H17:H19 H22:H24 H27:H29 H32:H34 H37:H39 H42:H44 H47:H49 H52:H54 H62:H64 H67:H69 H72:H74 H77:H79 H82:H84 H87:H89 H92:H94 H97:H99 H102:H104 H107:H111">
    <cfRule type="containsText" dxfId="31" priority="1" operator="containsText" text="1st">
      <formula>NOT(ISERROR(SEARCH("1st",H7)))</formula>
    </cfRule>
  </conditionalFormatting>
  <dataValidations count="1">
    <dataValidation type="list" allowBlank="1" showInputMessage="1" showErrorMessage="1" sqref="Q12:Q14 Q57:Q59 Q7:Q9 Q97:Q99 Q102:Q104 Q92:Q94 Q87:Q89 Q82:Q84 Q77:Q79 Q72:Q74 Q67:Q69 Q62:Q64 Q52:Q54 Q47:Q49 Q42:Q44 Q37:Q39 Q32:Q34 Q27:Q29 Q22:Q24 Q17:Q19">
      <formula1>"1"</formula1>
    </dataValidation>
  </dataValidations>
  <pageMargins left="0.19685039370078741" right="0" top="0.39370078740157483" bottom="0.39370078740157483" header="0.51181102362204722" footer="0.51181102362204722"/>
  <pageSetup paperSize="9" scale="95" orientation="portrait" r:id="rId1"/>
  <headerFooter alignWithMargins="0"/>
  <rowBreaks count="3" manualBreakCount="3">
    <brk id="55" min="2" max="7" man="1"/>
    <brk id="60" min="2" max="7" man="1"/>
    <brk id="105" min="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81"/>
  <sheetViews>
    <sheetView topLeftCell="A47" workbookViewId="0">
      <selection activeCell="J47" sqref="J47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164" t="s">
        <v>1105</v>
      </c>
    </row>
    <row r="3" spans="1:10" ht="12.75" hidden="1" outlineLevel="1">
      <c r="A3" s="52" t="s">
        <v>928</v>
      </c>
      <c r="B3" s="26" t="s">
        <v>1106</v>
      </c>
      <c r="C3" s="26" t="s">
        <v>964</v>
      </c>
      <c r="D3" s="26" t="s">
        <v>10</v>
      </c>
      <c r="E3" s="26" t="s">
        <v>11</v>
      </c>
      <c r="F3" s="165" t="s">
        <v>8</v>
      </c>
      <c r="G3" s="26" t="s">
        <v>965</v>
      </c>
      <c r="H3" s="26"/>
      <c r="I3" s="26"/>
      <c r="J3" s="164"/>
    </row>
    <row r="4" spans="1:10" ht="12.75" hidden="1" outlineLevel="1">
      <c r="A4" s="166"/>
      <c r="B4" s="166"/>
      <c r="C4" s="166"/>
      <c r="D4" s="166"/>
      <c r="E4" s="167"/>
      <c r="F4" s="168"/>
      <c r="G4" s="169"/>
      <c r="H4" s="170"/>
      <c r="I4" s="170"/>
      <c r="J4" s="164" t="s">
        <v>1107</v>
      </c>
    </row>
    <row r="5" spans="1:10" ht="12.75" hidden="1" outlineLevel="1">
      <c r="A5" s="166"/>
      <c r="B5" s="166"/>
      <c r="C5" s="166"/>
      <c r="D5" s="166"/>
      <c r="E5" s="166"/>
      <c r="F5" s="166"/>
      <c r="G5" s="171"/>
      <c r="H5" s="171"/>
      <c r="I5" s="171"/>
    </row>
    <row r="6" spans="1:10" hidden="1" outlineLevel="1">
      <c r="A6" s="172" t="s">
        <v>1325</v>
      </c>
      <c r="D6" s="1"/>
    </row>
    <row r="7" spans="1:10" hidden="1" outlineLevel="1">
      <c r="A7" s="173">
        <v>45361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49</v>
      </c>
      <c r="B9" s="12" t="s">
        <v>3</v>
      </c>
      <c r="C9" s="12" t="s">
        <v>4</v>
      </c>
      <c r="D9" s="12"/>
      <c r="E9" s="174">
        <v>49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1327</v>
      </c>
    </row>
    <row r="13" spans="1:10">
      <c r="A13" s="26" t="s">
        <v>1108</v>
      </c>
    </row>
    <row r="14" spans="1:10" ht="12.75">
      <c r="A14" s="52" t="s">
        <v>928</v>
      </c>
      <c r="B14" s="26" t="s">
        <v>1106</v>
      </c>
      <c r="C14" s="26" t="s">
        <v>964</v>
      </c>
      <c r="D14" s="26" t="s">
        <v>10</v>
      </c>
      <c r="E14" s="26" t="s">
        <v>11</v>
      </c>
      <c r="F14" s="165" t="s">
        <v>8</v>
      </c>
      <c r="G14" s="26" t="s">
        <v>965</v>
      </c>
      <c r="H14" s="26"/>
      <c r="I14" s="26"/>
    </row>
    <row r="15" spans="1:10" ht="12.75">
      <c r="A15" s="166">
        <v>1</v>
      </c>
      <c r="B15" s="166">
        <v>103</v>
      </c>
      <c r="C15" s="166" t="s">
        <v>1109</v>
      </c>
      <c r="D15" s="166" t="s">
        <v>37</v>
      </c>
      <c r="E15" s="167" t="s">
        <v>38</v>
      </c>
      <c r="F15" s="168">
        <v>6.97916666666667E-3</v>
      </c>
      <c r="G15" s="169">
        <v>25</v>
      </c>
      <c r="H15" s="170"/>
      <c r="I15" s="170"/>
    </row>
    <row r="16" spans="1:10" ht="12.75">
      <c r="A16" s="166">
        <v>2</v>
      </c>
      <c r="B16" s="166">
        <v>123</v>
      </c>
      <c r="C16" s="166" t="s">
        <v>1110</v>
      </c>
      <c r="D16" s="166" t="s">
        <v>18</v>
      </c>
      <c r="E16" s="167" t="s">
        <v>19</v>
      </c>
      <c r="F16" s="168">
        <v>7.3958333333333298E-3</v>
      </c>
      <c r="G16" s="169">
        <v>24</v>
      </c>
      <c r="H16" s="170"/>
      <c r="I16" s="170"/>
    </row>
    <row r="17" spans="1:9" ht="12.75">
      <c r="A17" s="166">
        <v>3</v>
      </c>
      <c r="B17" s="166">
        <v>196</v>
      </c>
      <c r="C17" s="166" t="s">
        <v>1111</v>
      </c>
      <c r="D17" s="166" t="s">
        <v>28</v>
      </c>
      <c r="E17" s="167" t="s">
        <v>29</v>
      </c>
      <c r="F17" s="168">
        <v>7.4189814814814804E-3</v>
      </c>
      <c r="G17" s="169">
        <v>23</v>
      </c>
      <c r="H17" s="170"/>
      <c r="I17" s="170"/>
    </row>
    <row r="18" spans="1:9" ht="12.75">
      <c r="A18" s="166">
        <v>4</v>
      </c>
      <c r="B18" s="166">
        <v>204</v>
      </c>
      <c r="C18" s="166" t="s">
        <v>1112</v>
      </c>
      <c r="D18" s="166">
        <v>0</v>
      </c>
      <c r="E18" s="167" t="s">
        <v>1113</v>
      </c>
      <c r="F18" s="168">
        <v>7.47685185185185E-3</v>
      </c>
      <c r="G18" s="169">
        <v>22</v>
      </c>
      <c r="H18" s="170"/>
      <c r="I18" s="170"/>
    </row>
    <row r="19" spans="1:9" ht="12.75">
      <c r="A19" s="166">
        <v>5</v>
      </c>
      <c r="B19" s="166">
        <v>72</v>
      </c>
      <c r="C19" s="166" t="s">
        <v>1114</v>
      </c>
      <c r="D19" s="166" t="s">
        <v>37</v>
      </c>
      <c r="E19" s="167" t="s">
        <v>38</v>
      </c>
      <c r="F19" s="168">
        <v>7.5115740740740802E-3</v>
      </c>
      <c r="G19" s="169">
        <v>21</v>
      </c>
      <c r="H19" s="170"/>
      <c r="I19" s="170"/>
    </row>
    <row r="20" spans="1:9" ht="12.75">
      <c r="A20" s="166">
        <v>6</v>
      </c>
      <c r="B20" s="166">
        <v>89</v>
      </c>
      <c r="C20" s="166" t="s">
        <v>1115</v>
      </c>
      <c r="D20" s="166" t="s">
        <v>37</v>
      </c>
      <c r="E20" s="167" t="s">
        <v>38</v>
      </c>
      <c r="F20" s="168">
        <v>7.5462962962963001E-3</v>
      </c>
      <c r="G20" s="169">
        <v>20</v>
      </c>
      <c r="H20" s="170"/>
      <c r="I20" s="170"/>
    </row>
    <row r="21" spans="1:9" ht="12.75">
      <c r="A21" s="166">
        <v>7</v>
      </c>
      <c r="B21" s="166">
        <v>137</v>
      </c>
      <c r="C21" s="166" t="s">
        <v>1116</v>
      </c>
      <c r="D21" s="166" t="s">
        <v>28</v>
      </c>
      <c r="E21" s="167" t="s">
        <v>29</v>
      </c>
      <c r="F21" s="168">
        <v>8.3333333333333297E-3</v>
      </c>
      <c r="G21" s="169">
        <v>19</v>
      </c>
      <c r="H21" s="170"/>
      <c r="I21" s="170"/>
    </row>
    <row r="22" spans="1:9" ht="12.75">
      <c r="A22" s="166">
        <v>8</v>
      </c>
      <c r="B22" s="166">
        <v>71</v>
      </c>
      <c r="C22" s="166" t="s">
        <v>1117</v>
      </c>
      <c r="D22" s="166" t="s">
        <v>37</v>
      </c>
      <c r="E22" s="167" t="s">
        <v>38</v>
      </c>
      <c r="F22" s="168">
        <v>8.7500000000000008E-3</v>
      </c>
      <c r="G22" s="169">
        <v>18</v>
      </c>
      <c r="H22" s="170"/>
      <c r="I22" s="170"/>
    </row>
    <row r="24" spans="1:9">
      <c r="A24" s="26" t="s">
        <v>1118</v>
      </c>
    </row>
    <row r="25" spans="1:9" ht="12.75">
      <c r="A25" s="52" t="s">
        <v>928</v>
      </c>
      <c r="B25" s="26" t="s">
        <v>1106</v>
      </c>
      <c r="C25" s="26" t="s">
        <v>964</v>
      </c>
      <c r="D25" s="26" t="s">
        <v>10</v>
      </c>
      <c r="E25" s="26" t="s">
        <v>11</v>
      </c>
      <c r="F25" s="165" t="s">
        <v>8</v>
      </c>
      <c r="G25" s="26" t="s">
        <v>965</v>
      </c>
      <c r="H25" s="26"/>
      <c r="I25" s="26"/>
    </row>
    <row r="26" spans="1:9" ht="12.75">
      <c r="A26" s="166">
        <v>1</v>
      </c>
      <c r="B26" s="166">
        <v>162</v>
      </c>
      <c r="C26" s="166" t="s">
        <v>1119</v>
      </c>
      <c r="D26" s="166">
        <v>0</v>
      </c>
      <c r="E26" s="167" t="s">
        <v>1113</v>
      </c>
      <c r="F26" s="168">
        <v>7.4884259259259296E-3</v>
      </c>
      <c r="G26" s="169">
        <v>25</v>
      </c>
      <c r="H26" s="170"/>
      <c r="I26" s="170"/>
    </row>
    <row r="27" spans="1:9" ht="12.75">
      <c r="A27" s="166">
        <v>2</v>
      </c>
      <c r="B27" s="166">
        <v>195</v>
      </c>
      <c r="C27" s="166" t="s">
        <v>1120</v>
      </c>
      <c r="D27" s="166" t="s">
        <v>37</v>
      </c>
      <c r="E27" s="167" t="s">
        <v>38</v>
      </c>
      <c r="F27" s="168">
        <v>7.5694444444444403E-3</v>
      </c>
      <c r="G27" s="169">
        <v>24</v>
      </c>
      <c r="H27" s="170"/>
      <c r="I27" s="170"/>
    </row>
    <row r="28" spans="1:9" ht="12.75">
      <c r="A28" s="166">
        <v>3</v>
      </c>
      <c r="B28" s="166">
        <v>205</v>
      </c>
      <c r="C28" s="166" t="s">
        <v>1121</v>
      </c>
      <c r="D28" s="166">
        <v>0</v>
      </c>
      <c r="E28" s="167" t="s">
        <v>1113</v>
      </c>
      <c r="F28" s="168">
        <v>7.6157407407407398E-3</v>
      </c>
      <c r="G28" s="169">
        <v>23</v>
      </c>
      <c r="H28" s="170"/>
      <c r="I28" s="170"/>
    </row>
    <row r="29" spans="1:9" ht="12.75">
      <c r="A29" s="166">
        <v>4</v>
      </c>
      <c r="B29" s="166">
        <v>133</v>
      </c>
      <c r="C29" s="166" t="s">
        <v>1122</v>
      </c>
      <c r="D29" s="166" t="s">
        <v>18</v>
      </c>
      <c r="E29" s="167" t="s">
        <v>19</v>
      </c>
      <c r="F29" s="168">
        <v>7.6504629629629596E-3</v>
      </c>
      <c r="G29" s="169">
        <v>22</v>
      </c>
      <c r="H29" s="170"/>
      <c r="I29" s="170"/>
    </row>
    <row r="30" spans="1:9" ht="12.75">
      <c r="A30" s="166">
        <v>5</v>
      </c>
      <c r="B30" s="166">
        <v>141</v>
      </c>
      <c r="C30" s="166" t="s">
        <v>1123</v>
      </c>
      <c r="D30" s="166" t="s">
        <v>28</v>
      </c>
      <c r="E30" s="167" t="s">
        <v>29</v>
      </c>
      <c r="F30" s="168">
        <v>7.8125E-3</v>
      </c>
      <c r="G30" s="169">
        <v>21</v>
      </c>
      <c r="H30" s="170"/>
      <c r="I30" s="170"/>
    </row>
    <row r="31" spans="1:9" ht="12.75">
      <c r="A31" s="166">
        <v>6</v>
      </c>
      <c r="B31" s="166">
        <v>78</v>
      </c>
      <c r="C31" s="166" t="s">
        <v>1124</v>
      </c>
      <c r="D31" s="166" t="s">
        <v>37</v>
      </c>
      <c r="E31" s="167" t="s">
        <v>38</v>
      </c>
      <c r="F31" s="168">
        <v>7.9861111111111105E-3</v>
      </c>
      <c r="G31" s="169">
        <v>20</v>
      </c>
      <c r="H31" s="170"/>
      <c r="I31" s="170"/>
    </row>
    <row r="32" spans="1:9" ht="12.75">
      <c r="A32" s="166">
        <v>7</v>
      </c>
      <c r="B32" s="166">
        <v>181</v>
      </c>
      <c r="C32" s="166" t="s">
        <v>1125</v>
      </c>
      <c r="D32" s="166" t="s">
        <v>37</v>
      </c>
      <c r="E32" s="167" t="s">
        <v>38</v>
      </c>
      <c r="F32" s="168">
        <v>8.0439814814814801E-3</v>
      </c>
      <c r="G32" s="169">
        <v>19</v>
      </c>
      <c r="H32" s="170"/>
      <c r="I32" s="170"/>
    </row>
    <row r="33" spans="1:9" ht="12.75">
      <c r="A33" s="166">
        <v>8</v>
      </c>
      <c r="B33" s="166">
        <v>203</v>
      </c>
      <c r="C33" s="166" t="s">
        <v>1126</v>
      </c>
      <c r="D33" s="166" t="s">
        <v>28</v>
      </c>
      <c r="E33" s="167" t="s">
        <v>29</v>
      </c>
      <c r="F33" s="168">
        <v>8.1365740740740704E-3</v>
      </c>
      <c r="G33" s="169">
        <v>18</v>
      </c>
      <c r="H33" s="170"/>
      <c r="I33" s="170"/>
    </row>
    <row r="34" spans="1:9" ht="12.75">
      <c r="A34" s="166">
        <v>9</v>
      </c>
      <c r="B34" s="166">
        <v>79</v>
      </c>
      <c r="C34" s="166" t="s">
        <v>1127</v>
      </c>
      <c r="D34" s="166" t="s">
        <v>37</v>
      </c>
      <c r="E34" s="167" t="s">
        <v>38</v>
      </c>
      <c r="F34" s="168">
        <v>8.4953703703703701E-3</v>
      </c>
      <c r="G34" s="169">
        <v>17</v>
      </c>
      <c r="H34" s="170"/>
      <c r="I34" s="170"/>
    </row>
    <row r="35" spans="1:9" ht="12.75">
      <c r="A35" s="166">
        <v>10</v>
      </c>
      <c r="B35" s="166">
        <v>176</v>
      </c>
      <c r="C35" s="166" t="s">
        <v>1128</v>
      </c>
      <c r="D35" s="166" t="s">
        <v>18</v>
      </c>
      <c r="E35" s="167" t="s">
        <v>19</v>
      </c>
      <c r="F35" s="168">
        <v>9.53703703703704E-3</v>
      </c>
      <c r="G35" s="169">
        <v>16</v>
      </c>
      <c r="H35" s="170"/>
      <c r="I35" s="170"/>
    </row>
    <row r="36" spans="1:9" ht="12.75">
      <c r="A36" s="166">
        <v>11</v>
      </c>
      <c r="B36" s="166">
        <v>199</v>
      </c>
      <c r="C36" s="166" t="s">
        <v>1129</v>
      </c>
      <c r="D36" s="166" t="s">
        <v>117</v>
      </c>
      <c r="E36" s="167" t="s">
        <v>118</v>
      </c>
      <c r="F36" s="168">
        <v>9.5717592592592608E-3</v>
      </c>
      <c r="G36" s="169">
        <v>15</v>
      </c>
      <c r="H36" s="170"/>
      <c r="I36" s="170"/>
    </row>
    <row r="37" spans="1:9" ht="12.75">
      <c r="A37" s="166">
        <v>12</v>
      </c>
      <c r="B37" s="166">
        <v>202</v>
      </c>
      <c r="C37" s="166" t="s">
        <v>1130</v>
      </c>
      <c r="D37" s="166" t="s">
        <v>65</v>
      </c>
      <c r="E37" s="167" t="s">
        <v>66</v>
      </c>
      <c r="F37" s="168">
        <v>9.8726851851851892E-3</v>
      </c>
      <c r="G37" s="169">
        <v>14</v>
      </c>
      <c r="H37" s="170"/>
      <c r="I37" s="170"/>
    </row>
    <row r="38" spans="1:9" ht="12.75">
      <c r="A38" s="166">
        <v>13</v>
      </c>
      <c r="B38" s="166">
        <v>136</v>
      </c>
      <c r="C38" s="166" t="s">
        <v>1131</v>
      </c>
      <c r="D38" s="166" t="s">
        <v>28</v>
      </c>
      <c r="E38" s="167" t="s">
        <v>29</v>
      </c>
      <c r="F38" s="168">
        <v>1.0416666666666701E-2</v>
      </c>
      <c r="G38" s="169">
        <v>13</v>
      </c>
      <c r="H38" s="170"/>
      <c r="I38" s="170"/>
    </row>
    <row r="39" spans="1:9" ht="12.75">
      <c r="A39" s="166">
        <v>14</v>
      </c>
      <c r="B39" s="166">
        <v>201</v>
      </c>
      <c r="C39" s="166" t="s">
        <v>1132</v>
      </c>
      <c r="D39" s="166" t="s">
        <v>65</v>
      </c>
      <c r="E39" s="167" t="s">
        <v>66</v>
      </c>
      <c r="F39" s="168">
        <v>1.0648148148148099E-2</v>
      </c>
      <c r="G39" s="169">
        <v>12</v>
      </c>
      <c r="H39" s="170"/>
      <c r="I39" s="170"/>
    </row>
    <row r="41" spans="1:9">
      <c r="A41" s="26" t="s">
        <v>1133</v>
      </c>
    </row>
    <row r="42" spans="1:9" ht="12.75">
      <c r="A42" s="52" t="s">
        <v>928</v>
      </c>
      <c r="B42" s="26" t="s">
        <v>1106</v>
      </c>
      <c r="C42" s="26" t="s">
        <v>964</v>
      </c>
      <c r="D42" s="26" t="s">
        <v>10</v>
      </c>
      <c r="E42" s="26" t="s">
        <v>11</v>
      </c>
      <c r="F42" s="165" t="s">
        <v>8</v>
      </c>
      <c r="G42" s="26" t="s">
        <v>965</v>
      </c>
      <c r="H42" s="26"/>
      <c r="I42" s="26"/>
    </row>
    <row r="43" spans="1:9" ht="12.75">
      <c r="A43" s="166">
        <v>1</v>
      </c>
      <c r="B43" s="166">
        <v>112</v>
      </c>
      <c r="C43" s="166" t="s">
        <v>1134</v>
      </c>
      <c r="D43" s="166" t="s">
        <v>56</v>
      </c>
      <c r="E43" s="167" t="s">
        <v>57</v>
      </c>
      <c r="F43" s="168">
        <v>5.9722222222222199E-3</v>
      </c>
      <c r="G43" s="169">
        <v>20</v>
      </c>
      <c r="H43" s="170"/>
      <c r="I43" s="170"/>
    </row>
    <row r="44" spans="1:9" ht="12.75">
      <c r="A44" s="166">
        <v>2</v>
      </c>
      <c r="B44" s="166">
        <v>198</v>
      </c>
      <c r="C44" s="166" t="s">
        <v>1135</v>
      </c>
      <c r="D44" s="166" t="s">
        <v>56</v>
      </c>
      <c r="E44" s="167" t="s">
        <v>57</v>
      </c>
      <c r="F44" s="168">
        <v>6.2152777777777796E-3</v>
      </c>
      <c r="G44" s="169">
        <v>19</v>
      </c>
      <c r="H44" s="170"/>
      <c r="I44" s="170"/>
    </row>
    <row r="45" spans="1:9" ht="12.75">
      <c r="A45" s="166">
        <v>3</v>
      </c>
      <c r="B45" s="166">
        <v>118</v>
      </c>
      <c r="C45" s="166" t="s">
        <v>1136</v>
      </c>
      <c r="D45" s="166" t="s">
        <v>18</v>
      </c>
      <c r="E45" s="167" t="s">
        <v>19</v>
      </c>
      <c r="F45" s="168">
        <v>6.53935185185185E-3</v>
      </c>
      <c r="G45" s="169">
        <v>18</v>
      </c>
      <c r="H45" s="170"/>
      <c r="I45" s="170"/>
    </row>
    <row r="46" spans="1:9" ht="12.75">
      <c r="A46" s="166">
        <v>4</v>
      </c>
      <c r="B46" s="166">
        <v>117</v>
      </c>
      <c r="C46" s="166" t="s">
        <v>1137</v>
      </c>
      <c r="D46" s="166" t="s">
        <v>18</v>
      </c>
      <c r="E46" s="167" t="s">
        <v>19</v>
      </c>
      <c r="F46" s="168">
        <v>7.0254629629629599E-3</v>
      </c>
      <c r="G46" s="169">
        <v>17</v>
      </c>
      <c r="H46" s="170"/>
      <c r="I46" s="170"/>
    </row>
    <row r="47" spans="1:9" ht="12.75">
      <c r="A47" s="166">
        <v>5</v>
      </c>
      <c r="B47" s="166">
        <v>160</v>
      </c>
      <c r="C47" s="166" t="s">
        <v>1138</v>
      </c>
      <c r="D47" s="166" t="s">
        <v>37</v>
      </c>
      <c r="E47" s="167" t="s">
        <v>38</v>
      </c>
      <c r="F47" s="168">
        <v>7.3842592592592597E-3</v>
      </c>
      <c r="G47" s="169">
        <v>16</v>
      </c>
      <c r="H47" s="170"/>
      <c r="I47" s="170"/>
    </row>
    <row r="48" spans="1:9" ht="12.75">
      <c r="A48" s="166">
        <v>6</v>
      </c>
      <c r="B48" s="166">
        <v>206</v>
      </c>
      <c r="C48" s="166" t="s">
        <v>1139</v>
      </c>
      <c r="D48" s="166">
        <v>0</v>
      </c>
      <c r="E48" s="167" t="s">
        <v>1113</v>
      </c>
      <c r="F48" s="168">
        <v>7.6041666666666697E-3</v>
      </c>
      <c r="G48" s="169">
        <v>15</v>
      </c>
      <c r="H48" s="170"/>
      <c r="I48" s="170"/>
    </row>
    <row r="49" spans="1:9" ht="12.75">
      <c r="A49" s="166">
        <v>7</v>
      </c>
      <c r="B49" s="166">
        <v>207</v>
      </c>
      <c r="C49" s="166" t="s">
        <v>1140</v>
      </c>
      <c r="D49" s="166" t="s">
        <v>68</v>
      </c>
      <c r="E49" s="167" t="s">
        <v>69</v>
      </c>
      <c r="F49" s="168">
        <v>8.3101851851851791E-3</v>
      </c>
      <c r="G49" s="169">
        <v>14</v>
      </c>
      <c r="H49" s="170"/>
      <c r="I49" s="170"/>
    </row>
    <row r="51" spans="1:9">
      <c r="A51" s="26" t="s">
        <v>1141</v>
      </c>
    </row>
    <row r="52" spans="1:9" ht="12.75">
      <c r="A52" s="52" t="s">
        <v>928</v>
      </c>
      <c r="B52" s="26" t="s">
        <v>1106</v>
      </c>
      <c r="C52" s="26" t="s">
        <v>964</v>
      </c>
      <c r="D52" s="26" t="s">
        <v>10</v>
      </c>
      <c r="E52" s="26" t="s">
        <v>11</v>
      </c>
      <c r="F52" s="165" t="s">
        <v>8</v>
      </c>
      <c r="G52" s="26" t="s">
        <v>965</v>
      </c>
      <c r="H52" s="26"/>
      <c r="I52" s="26"/>
    </row>
    <row r="53" spans="1:9" ht="12.75">
      <c r="A53" s="166">
        <v>1</v>
      </c>
      <c r="B53" s="166">
        <v>129</v>
      </c>
      <c r="C53" s="166" t="s">
        <v>1142</v>
      </c>
      <c r="D53" s="166" t="s">
        <v>18</v>
      </c>
      <c r="E53" s="167" t="s">
        <v>19</v>
      </c>
      <c r="F53" s="168">
        <v>6.9560185185185202E-3</v>
      </c>
      <c r="G53" s="169">
        <v>20</v>
      </c>
      <c r="H53" s="170"/>
      <c r="I53" s="170"/>
    </row>
    <row r="54" spans="1:9" ht="12.75">
      <c r="A54" s="166">
        <v>2</v>
      </c>
      <c r="B54" s="166">
        <v>200</v>
      </c>
      <c r="C54" s="166" t="s">
        <v>1143</v>
      </c>
      <c r="D54" s="166" t="s">
        <v>49</v>
      </c>
      <c r="E54" s="167" t="s">
        <v>50</v>
      </c>
      <c r="F54" s="168">
        <v>7.0023148148148197E-3</v>
      </c>
      <c r="G54" s="169">
        <v>19</v>
      </c>
      <c r="H54" s="170"/>
      <c r="I54" s="170"/>
    </row>
    <row r="55" spans="1:9" ht="12.75">
      <c r="A55" s="166">
        <v>3</v>
      </c>
      <c r="B55" s="166">
        <v>166</v>
      </c>
      <c r="C55" s="166" t="s">
        <v>1144</v>
      </c>
      <c r="D55" s="166" t="s">
        <v>56</v>
      </c>
      <c r="E55" s="167" t="s">
        <v>57</v>
      </c>
      <c r="F55" s="168">
        <v>7.1527777777777796E-3</v>
      </c>
      <c r="G55" s="169">
        <v>18</v>
      </c>
      <c r="H55" s="170"/>
      <c r="I55" s="170"/>
    </row>
    <row r="56" spans="1:9" ht="12.75">
      <c r="A56" s="166">
        <v>4</v>
      </c>
      <c r="B56" s="166">
        <v>62</v>
      </c>
      <c r="C56" s="166" t="s">
        <v>1145</v>
      </c>
      <c r="D56" s="166" t="s">
        <v>83</v>
      </c>
      <c r="E56" s="167" t="s">
        <v>84</v>
      </c>
      <c r="F56" s="168">
        <v>7.4999999999999997E-3</v>
      </c>
      <c r="G56" s="169">
        <v>17</v>
      </c>
      <c r="H56" s="170"/>
      <c r="I56" s="170"/>
    </row>
    <row r="57" spans="1:9" ht="12.75">
      <c r="A57" s="166">
        <v>5</v>
      </c>
      <c r="B57" s="166">
        <v>135</v>
      </c>
      <c r="C57" s="166" t="s">
        <v>1146</v>
      </c>
      <c r="D57" s="166" t="s">
        <v>28</v>
      </c>
      <c r="E57" s="167" t="s">
        <v>29</v>
      </c>
      <c r="F57" s="168">
        <v>7.5115740740740802E-3</v>
      </c>
      <c r="G57" s="169">
        <v>16</v>
      </c>
      <c r="H57" s="170"/>
      <c r="I57" s="170"/>
    </row>
    <row r="58" spans="1:9" ht="12.75">
      <c r="A58" s="166">
        <v>6</v>
      </c>
      <c r="B58" s="166">
        <v>188</v>
      </c>
      <c r="C58" s="166" t="s">
        <v>1147</v>
      </c>
      <c r="D58" s="166" t="s">
        <v>18</v>
      </c>
      <c r="E58" s="167" t="s">
        <v>19</v>
      </c>
      <c r="F58" s="168">
        <v>8.1828703703703699E-3</v>
      </c>
      <c r="G58" s="169">
        <v>15</v>
      </c>
      <c r="H58" s="170"/>
      <c r="I58" s="170"/>
    </row>
    <row r="59" spans="1:9" ht="12.75">
      <c r="A59" s="166">
        <v>7</v>
      </c>
      <c r="B59" s="166">
        <v>197</v>
      </c>
      <c r="C59" s="166" t="s">
        <v>1148</v>
      </c>
      <c r="D59" s="166" t="s">
        <v>18</v>
      </c>
      <c r="E59" s="167" t="s">
        <v>19</v>
      </c>
      <c r="F59" s="168">
        <v>8.4143518518518499E-3</v>
      </c>
      <c r="G59" s="169">
        <v>14</v>
      </c>
      <c r="H59" s="170"/>
      <c r="I59" s="170"/>
    </row>
    <row r="61" spans="1:9">
      <c r="A61" s="26" t="s">
        <v>1149</v>
      </c>
    </row>
    <row r="62" spans="1:9" ht="12.75">
      <c r="A62" s="52" t="s">
        <v>928</v>
      </c>
      <c r="B62" s="26" t="s">
        <v>1106</v>
      </c>
      <c r="C62" s="26" t="s">
        <v>964</v>
      </c>
      <c r="D62" s="26" t="s">
        <v>10</v>
      </c>
      <c r="E62" s="26" t="s">
        <v>11</v>
      </c>
      <c r="F62" s="165" t="s">
        <v>8</v>
      </c>
      <c r="G62" s="26" t="s">
        <v>965</v>
      </c>
      <c r="H62" s="26"/>
      <c r="I62" s="26"/>
    </row>
    <row r="63" spans="1:9" ht="12.75">
      <c r="A63" s="166">
        <v>1</v>
      </c>
      <c r="B63" s="166">
        <v>4</v>
      </c>
      <c r="C63" s="166" t="s">
        <v>1150</v>
      </c>
      <c r="D63" s="166" t="s">
        <v>200</v>
      </c>
      <c r="E63" s="167" t="s">
        <v>201</v>
      </c>
      <c r="F63" s="168">
        <v>9.0162037037036999E-3</v>
      </c>
      <c r="G63" s="169">
        <v>15</v>
      </c>
      <c r="H63" s="170"/>
      <c r="I63" s="170"/>
    </row>
    <row r="64" spans="1:9" ht="12.75">
      <c r="A64" s="166">
        <v>2</v>
      </c>
      <c r="B64" s="166">
        <v>41</v>
      </c>
      <c r="C64" s="166" t="s">
        <v>1151</v>
      </c>
      <c r="D64" s="166" t="s">
        <v>37</v>
      </c>
      <c r="E64" s="167" t="s">
        <v>38</v>
      </c>
      <c r="F64" s="168">
        <v>9.6180555555555602E-3</v>
      </c>
      <c r="G64" s="169">
        <v>14</v>
      </c>
      <c r="H64" s="170"/>
      <c r="I64" s="170"/>
    </row>
    <row r="65" spans="1:9" ht="12.75">
      <c r="A65" s="166">
        <v>3</v>
      </c>
      <c r="B65" s="166">
        <v>2</v>
      </c>
      <c r="C65" s="166" t="s">
        <v>1152</v>
      </c>
      <c r="D65" s="166" t="s">
        <v>83</v>
      </c>
      <c r="E65" s="167" t="s">
        <v>84</v>
      </c>
      <c r="F65" s="168">
        <v>1.0300925925925899E-2</v>
      </c>
      <c r="G65" s="169">
        <v>13</v>
      </c>
      <c r="H65" s="170"/>
      <c r="I65" s="170"/>
    </row>
    <row r="66" spans="1:9" ht="12.75">
      <c r="A66" s="166">
        <v>4</v>
      </c>
      <c r="B66" s="166">
        <v>43</v>
      </c>
      <c r="C66" s="166" t="s">
        <v>1153</v>
      </c>
      <c r="D66" s="166">
        <v>0</v>
      </c>
      <c r="E66" s="167" t="s">
        <v>1113</v>
      </c>
      <c r="F66" s="168">
        <v>1.32175925925926E-2</v>
      </c>
      <c r="G66" s="169">
        <v>12</v>
      </c>
      <c r="H66" s="170"/>
      <c r="I66" s="170"/>
    </row>
    <row r="68" spans="1:9">
      <c r="A68" s="26" t="s">
        <v>1154</v>
      </c>
    </row>
    <row r="69" spans="1:9" ht="12.75">
      <c r="A69" s="52" t="s">
        <v>928</v>
      </c>
      <c r="B69" s="26" t="s">
        <v>1106</v>
      </c>
      <c r="C69" s="26" t="s">
        <v>964</v>
      </c>
      <c r="D69" s="26" t="s">
        <v>10</v>
      </c>
      <c r="E69" s="26" t="s">
        <v>11</v>
      </c>
      <c r="F69" s="165" t="s">
        <v>8</v>
      </c>
      <c r="G69" s="26" t="s">
        <v>965</v>
      </c>
      <c r="H69" s="26"/>
      <c r="I69" s="26"/>
    </row>
    <row r="70" spans="1:9" ht="12.75">
      <c r="A70" s="166">
        <v>1</v>
      </c>
      <c r="B70" s="166">
        <v>48</v>
      </c>
      <c r="C70" s="166" t="s">
        <v>1155</v>
      </c>
      <c r="D70" s="166" t="s">
        <v>28</v>
      </c>
      <c r="E70" s="167" t="s">
        <v>29</v>
      </c>
      <c r="F70" s="168">
        <v>9.8726851851851892E-3</v>
      </c>
      <c r="G70" s="169">
        <v>15</v>
      </c>
      <c r="H70" s="170"/>
      <c r="I70" s="170"/>
    </row>
    <row r="71" spans="1:9" ht="12.75">
      <c r="A71" s="166">
        <v>2</v>
      </c>
      <c r="B71" s="166">
        <v>46</v>
      </c>
      <c r="C71" s="166" t="s">
        <v>1156</v>
      </c>
      <c r="D71" s="166" t="s">
        <v>18</v>
      </c>
      <c r="E71" s="167" t="s">
        <v>19</v>
      </c>
      <c r="F71" s="168">
        <v>1.0462962962963E-2</v>
      </c>
      <c r="G71" s="169">
        <v>14</v>
      </c>
      <c r="H71" s="170"/>
      <c r="I71" s="170"/>
    </row>
    <row r="72" spans="1:9" ht="12.75">
      <c r="A72" s="166">
        <v>3</v>
      </c>
      <c r="B72" s="166">
        <v>25</v>
      </c>
      <c r="C72" s="166" t="s">
        <v>1157</v>
      </c>
      <c r="D72" s="166" t="s">
        <v>18</v>
      </c>
      <c r="E72" s="167" t="s">
        <v>19</v>
      </c>
      <c r="F72" s="168">
        <v>1.0486111111111101E-2</v>
      </c>
      <c r="G72" s="169">
        <v>13</v>
      </c>
      <c r="H72" s="170"/>
      <c r="I72" s="170"/>
    </row>
    <row r="73" spans="1:9" ht="12.75">
      <c r="A73" s="166">
        <v>4</v>
      </c>
      <c r="B73" s="166">
        <v>38</v>
      </c>
      <c r="C73" s="166" t="s">
        <v>1158</v>
      </c>
      <c r="D73" s="166" t="s">
        <v>56</v>
      </c>
      <c r="E73" s="167" t="s">
        <v>57</v>
      </c>
      <c r="F73" s="168">
        <v>1.04976851851852E-2</v>
      </c>
      <c r="G73" s="169">
        <v>12</v>
      </c>
      <c r="H73" s="170"/>
      <c r="I73" s="170"/>
    </row>
    <row r="74" spans="1:9" ht="12.75">
      <c r="A74" s="166">
        <v>5</v>
      </c>
      <c r="B74" s="166">
        <v>33</v>
      </c>
      <c r="C74" s="166" t="s">
        <v>1159</v>
      </c>
      <c r="D74" s="166" t="s">
        <v>28</v>
      </c>
      <c r="E74" s="167" t="s">
        <v>29</v>
      </c>
      <c r="F74" s="168">
        <v>1.19791666666667E-2</v>
      </c>
      <c r="G74" s="169">
        <v>11</v>
      </c>
      <c r="H74" s="170"/>
      <c r="I74" s="170"/>
    </row>
    <row r="75" spans="1:9" ht="12.75">
      <c r="A75" s="166">
        <v>6</v>
      </c>
      <c r="B75" s="166">
        <v>1</v>
      </c>
      <c r="C75" s="166" t="s">
        <v>1160</v>
      </c>
      <c r="D75" s="166" t="s">
        <v>83</v>
      </c>
      <c r="E75" s="167" t="s">
        <v>84</v>
      </c>
      <c r="F75" s="168">
        <v>1.2349537037036999E-2</v>
      </c>
      <c r="G75" s="169">
        <v>10</v>
      </c>
      <c r="H75" s="170"/>
      <c r="I75" s="170"/>
    </row>
    <row r="76" spans="1:9" ht="12.75">
      <c r="A76" s="166">
        <v>7</v>
      </c>
      <c r="B76" s="166">
        <v>40</v>
      </c>
      <c r="C76" s="166" t="s">
        <v>1161</v>
      </c>
      <c r="D76" s="166" t="s">
        <v>18</v>
      </c>
      <c r="E76" s="167" t="s">
        <v>19</v>
      </c>
      <c r="F76" s="168">
        <v>1.2453703703703699E-2</v>
      </c>
      <c r="G76" s="169">
        <v>9</v>
      </c>
      <c r="H76" s="170"/>
      <c r="I76" s="170"/>
    </row>
    <row r="77" spans="1:9" ht="12.75">
      <c r="A77" s="166">
        <v>8</v>
      </c>
      <c r="B77" s="166">
        <v>11</v>
      </c>
      <c r="C77" s="166" t="s">
        <v>1162</v>
      </c>
      <c r="D77" s="166" t="s">
        <v>37</v>
      </c>
      <c r="E77" s="167" t="s">
        <v>38</v>
      </c>
      <c r="F77" s="168">
        <v>0</v>
      </c>
      <c r="G77" s="169">
        <v>8</v>
      </c>
      <c r="H77" s="170"/>
      <c r="I77" s="170"/>
    </row>
    <row r="79" spans="1:9">
      <c r="A79" s="26" t="s">
        <v>1163</v>
      </c>
    </row>
    <row r="80" spans="1:9" ht="12.75">
      <c r="A80" s="52" t="s">
        <v>928</v>
      </c>
      <c r="B80" s="26" t="s">
        <v>1106</v>
      </c>
      <c r="C80" s="26" t="s">
        <v>964</v>
      </c>
      <c r="D80" s="26" t="s">
        <v>10</v>
      </c>
      <c r="E80" s="26" t="s">
        <v>11</v>
      </c>
      <c r="F80" s="165" t="s">
        <v>8</v>
      </c>
      <c r="G80" s="26" t="s">
        <v>965</v>
      </c>
      <c r="H80" s="26"/>
      <c r="I80" s="26"/>
    </row>
    <row r="81" spans="1:9" ht="12.75">
      <c r="A81" s="166">
        <v>1</v>
      </c>
      <c r="B81" s="166">
        <v>23</v>
      </c>
      <c r="C81" s="166" t="s">
        <v>1164</v>
      </c>
      <c r="D81" s="166" t="s">
        <v>18</v>
      </c>
      <c r="E81" s="167" t="s">
        <v>19</v>
      </c>
      <c r="F81" s="168">
        <v>1.2106481481481499E-2</v>
      </c>
      <c r="G81" s="169">
        <v>15</v>
      </c>
      <c r="H81" s="170"/>
      <c r="I81" s="170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M170"/>
  <sheetViews>
    <sheetView tabSelected="1" topLeftCell="A6" zoomScale="115" zoomScaleNormal="115" workbookViewId="0">
      <pane ySplit="3" topLeftCell="A72" activePane="bottomLeft" state="frozen"/>
      <selection activeCell="A6" sqref="A6"/>
      <selection pane="bottomLeft" activeCell="P3" sqref="P3"/>
    </sheetView>
  </sheetViews>
  <sheetFormatPr defaultRowHeight="12.75" outlineLevelRow="1" outlineLevelCol="1"/>
  <cols>
    <col min="1" max="2" width="7.2851562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9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19" width="9.140625" style="2" customWidth="1"/>
    <col min="20" max="20" width="13.28515625" style="2" customWidth="1"/>
    <col min="21" max="25" width="9.140625" style="2" customWidth="1"/>
    <col min="26" max="26" width="9.140625" style="2" collapsed="1"/>
    <col min="27" max="38" width="9.140625" style="2"/>
    <col min="39" max="39" width="1.7109375" style="2" customWidth="1"/>
    <col min="40" max="16384" width="9.140625" style="2"/>
  </cols>
  <sheetData>
    <row r="1" spans="1:39" hidden="1" outlineLevel="1">
      <c r="S1" s="28"/>
      <c r="T1" s="28" t="s">
        <v>353</v>
      </c>
      <c r="U1" s="29" t="s">
        <v>354</v>
      </c>
      <c r="V1" s="27" t="str">
        <f>IF(ISBLANK(U1),"X",IF(AND(U1&lt;115,U1&gt;95),U1+1,U1))</f>
        <v xml:space="preserve">Formula to correct scores psoted </v>
      </c>
      <c r="W1" s="27" t="str">
        <f>IF(OR(W$8&gt;$D$7,W$8&gt;COUNT($E1:$J1)),"",LARGE($E1:$J1,W$8))</f>
        <v/>
      </c>
      <c r="X1" s="27" t="str">
        <f>IF(OR(X$8&gt;$D$7,X$8&gt;COUNT($E1:$J1)),"",LARGE($E1:$J1,X$8))</f>
        <v/>
      </c>
      <c r="Y1" s="27" t="str">
        <f>IF(OR(Y$8&gt;$D$7,Y$8&gt;COUNT($E1:$J1)),"",LARGE($E1:$J1,Y$8))</f>
        <v/>
      </c>
      <c r="Z1" s="27" t="str">
        <f>IF(OR(Z$8&gt;$D$7,Z$8&gt;COUNT($E1:$J1)),"",LARGE($E1:$J1,Z$8))</f>
        <v/>
      </c>
      <c r="AA1" s="1"/>
      <c r="AB1" s="1"/>
      <c r="AC1" s="1"/>
      <c r="AD1" s="1"/>
      <c r="AE1" s="1"/>
      <c r="AF1" s="1"/>
      <c r="AG1" s="1"/>
      <c r="AH1" s="27"/>
      <c r="AM1" s="30"/>
    </row>
    <row r="2" spans="1:39" hidden="1" outlineLevel="1">
      <c r="A2" s="2" t="s">
        <v>355</v>
      </c>
      <c r="C2" s="31"/>
      <c r="E2" s="28" t="s">
        <v>356</v>
      </c>
      <c r="F2" s="2" t="b">
        <f>SUM(F8:F8)&gt;0</f>
        <v>0</v>
      </c>
      <c r="J2" s="31" t="s">
        <v>1165</v>
      </c>
      <c r="K2" s="32">
        <f>IFERROR(LARGE(E2:J2,1),0)+IF($D$7&gt;=2,IFERROR(LARGE(E2:J2,2),0),0)+IF($D$7&gt;=3,IFERROR(LARGE(E2:J2,3),0),0)+IF($D$7&gt;=4,IFERROR(LARGE(E2:J2,4),0),0)+IF($D$7&gt;=5,IFERROR(LARGE(E2:J2,5),0),0)+IF($D$7&gt;=6,IFERROR(LARGE(E2:J2,6),0),0)</f>
        <v>0</v>
      </c>
      <c r="L2" s="32"/>
      <c r="M2" s="32"/>
      <c r="N2" s="32">
        <f>K2-(ROW(K2)-ROW(K$8))/10000</f>
        <v>5.9999999999999995E-4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175">
        <f>1-(Q2=Q1)</f>
        <v>0</v>
      </c>
      <c r="S2" s="34">
        <f>-SUMPRODUCT((Q1:Q$8=Q2)*(T1:T$8=T2))</f>
        <v>-3</v>
      </c>
      <c r="T2" s="35">
        <f>K2+SUMPRODUCT(U$6:Z$6,U2:Z2)</f>
        <v>0</v>
      </c>
      <c r="U2" s="34"/>
      <c r="V2" s="27"/>
      <c r="W2" s="27"/>
      <c r="X2" s="27"/>
      <c r="Y2" s="27"/>
      <c r="AA2" s="31" t="s">
        <v>1166</v>
      </c>
      <c r="AB2" s="36" t="e">
        <v>#N/A</v>
      </c>
      <c r="AC2" s="36" t="e">
        <f>IF($AB2="Query O/S",AJ2,0)</f>
        <v>#N/A</v>
      </c>
      <c r="AD2" s="36" t="e">
        <f>IF($AB2="Query O/S",AK2,0)</f>
        <v>#N/A</v>
      </c>
      <c r="AE2" s="36" t="e">
        <f>IF($AB2="Query O/S",AL2,0)</f>
        <v>#N/A</v>
      </c>
      <c r="AF2" s="37"/>
      <c r="AG2" s="38"/>
      <c r="AH2" s="39">
        <f>MAX(E2:J2)</f>
        <v>0</v>
      </c>
      <c r="AI2" s="32">
        <f>(IFERROR(LARGE(E2:J2,1),0)+IF($AI$3&gt;=2,IFERROR(LARGE(E2:J2,2),0),0)+IF($AI$3&gt;=3,IFERROR(LARGE(E2:J2,3),0),0)+IF($AI$3&gt;=4,IFERROR(LARGE(E2:J2,4),0),0)+IF($AI$3&gt;=5,IFERROR(LARGE(E2:J2,5),0),0)+IF($AI$3&gt;=6,IFERROR(LARGE(E2:J2,6),0),0)+AH2)</f>
        <v>0</v>
      </c>
      <c r="AM2" s="30"/>
    </row>
    <row r="3" spans="1:39" hidden="1" outlineLevel="1">
      <c r="A3" s="41" t="s">
        <v>1167</v>
      </c>
      <c r="B3" s="176"/>
      <c r="E3" s="28"/>
      <c r="J3" s="31"/>
      <c r="K3" s="27"/>
      <c r="L3" s="27"/>
      <c r="M3" s="27"/>
      <c r="N3" s="42"/>
      <c r="O3" s="27" t="s">
        <v>360</v>
      </c>
      <c r="P3" s="43">
        <v>5</v>
      </c>
      <c r="Q3" s="41" t="s">
        <v>1168</v>
      </c>
      <c r="R3" s="44" t="s">
        <v>362</v>
      </c>
      <c r="U3" s="31" t="s">
        <v>1169</v>
      </c>
      <c r="V3" s="27"/>
      <c r="W3" s="27"/>
      <c r="X3" s="27"/>
      <c r="Y3" s="27"/>
      <c r="Z3" s="31" t="s">
        <v>1170</v>
      </c>
      <c r="AH3" s="1" t="s">
        <v>364</v>
      </c>
      <c r="AI3" s="3">
        <f>$D$7-1</f>
        <v>2</v>
      </c>
      <c r="AJ3" s="1" t="s">
        <v>365</v>
      </c>
      <c r="AM3" s="30"/>
    </row>
    <row r="4" spans="1:39" hidden="1" outlineLevel="1">
      <c r="A4" s="176"/>
      <c r="B4" s="40">
        <f>IF(OR(S4&lt;0,S5&lt;0),"="&amp;A4+S4&amp;" ",A4)</f>
        <v>0</v>
      </c>
      <c r="C4" s="41" t="s">
        <v>1171</v>
      </c>
      <c r="E4" s="28"/>
      <c r="J4" s="31"/>
      <c r="K4" s="27"/>
      <c r="L4" s="27"/>
      <c r="M4" s="27"/>
      <c r="N4" s="42"/>
      <c r="O4" s="27"/>
      <c r="P4" s="177"/>
      <c r="Q4" s="41"/>
      <c r="R4" s="178"/>
      <c r="S4" s="1"/>
      <c r="T4" s="1"/>
      <c r="U4" s="31"/>
      <c r="V4" s="27"/>
      <c r="W4" s="27"/>
      <c r="X4" s="27"/>
      <c r="Y4" s="27"/>
      <c r="Z4" s="31"/>
      <c r="AH4" s="1"/>
      <c r="AI4" s="179"/>
      <c r="AJ4" s="1"/>
      <c r="AM4" s="30"/>
    </row>
    <row r="5" spans="1:39" hidden="1" outlineLevel="1">
      <c r="E5" s="28"/>
      <c r="J5" s="31"/>
      <c r="K5" s="27"/>
      <c r="L5" s="27"/>
      <c r="M5" s="27"/>
      <c r="N5" s="42"/>
      <c r="O5" s="27"/>
      <c r="P5" s="177"/>
      <c r="Q5" s="41"/>
      <c r="R5" s="178"/>
      <c r="S5" s="1"/>
      <c r="T5" s="1" t="s">
        <v>363</v>
      </c>
      <c r="U5" s="29">
        <f>IF(U8&gt;$D$7,0,1)</f>
        <v>1</v>
      </c>
      <c r="V5" s="29">
        <f t="shared" ref="V5:Z5" si="0">IF(V8&gt;$D$7,0,1)</f>
        <v>1</v>
      </c>
      <c r="W5" s="29">
        <f t="shared" si="0"/>
        <v>1</v>
      </c>
      <c r="X5" s="29">
        <f t="shared" si="0"/>
        <v>0</v>
      </c>
      <c r="Y5" s="29">
        <f t="shared" si="0"/>
        <v>0</v>
      </c>
      <c r="Z5" s="29">
        <f t="shared" si="0"/>
        <v>0</v>
      </c>
      <c r="AH5" s="1"/>
      <c r="AI5" s="179"/>
      <c r="AJ5" s="1"/>
      <c r="AM5" s="30"/>
    </row>
    <row r="6" spans="1:39" s="15" customFormat="1" ht="38.25" customHeight="1" collapsed="1" thickBot="1">
      <c r="A6" s="15" t="s">
        <v>1328</v>
      </c>
      <c r="R6" s="46">
        <f>SUM(Q9:Q326)</f>
        <v>0</v>
      </c>
      <c r="T6" s="1" t="s">
        <v>366</v>
      </c>
      <c r="U6" s="29">
        <f>U5*1/1000</f>
        <v>1E-3</v>
      </c>
      <c r="V6" s="29">
        <f>V5*1/10000</f>
        <v>1E-4</v>
      </c>
      <c r="W6" s="29">
        <f>W5*1/100000</f>
        <v>1.0000000000000001E-5</v>
      </c>
      <c r="X6" s="29">
        <f>X5*1/1000000</f>
        <v>0</v>
      </c>
      <c r="Y6" s="29">
        <f>Y5*1/10000000</f>
        <v>0</v>
      </c>
      <c r="Z6" s="29">
        <f>Z5*1/100000000</f>
        <v>0</v>
      </c>
      <c r="AA6" s="27"/>
      <c r="AB6" s="27"/>
      <c r="AC6" s="27"/>
      <c r="AD6" s="27"/>
      <c r="AE6" s="27"/>
      <c r="AF6" s="27"/>
      <c r="AG6" s="27"/>
      <c r="AH6" s="27"/>
      <c r="AI6" s="41" t="s">
        <v>1172</v>
      </c>
      <c r="AJ6" s="27"/>
      <c r="AK6" s="27"/>
      <c r="AL6" s="27"/>
      <c r="AM6" s="47" t="s">
        <v>1173</v>
      </c>
    </row>
    <row r="7" spans="1:39" s="26" customFormat="1">
      <c r="A7" s="26" t="s">
        <v>369</v>
      </c>
      <c r="D7" s="48">
        <v>3</v>
      </c>
      <c r="K7" s="49" t="str">
        <f>"Total is best " &amp;D7&amp;" races"</f>
        <v>Total is best 3 races</v>
      </c>
      <c r="U7" s="26" t="str">
        <f>"Races in points order (highest "&amp;$D$7&amp;" score"</f>
        <v>Races in points order (highest 3 score</v>
      </c>
      <c r="AA7" s="2"/>
      <c r="AB7" s="2"/>
      <c r="AC7" s="26" t="s">
        <v>372</v>
      </c>
      <c r="AF7" s="26" t="s">
        <v>373</v>
      </c>
      <c r="AG7" s="2"/>
      <c r="AJ7" s="41" t="s">
        <v>1174</v>
      </c>
      <c r="AM7" s="50"/>
    </row>
    <row r="8" spans="1:39" s="26" customFormat="1" ht="27.75" customHeight="1">
      <c r="A8" s="26" t="s">
        <v>3</v>
      </c>
      <c r="B8" s="26" t="s">
        <v>375</v>
      </c>
      <c r="C8" s="26" t="s">
        <v>377</v>
      </c>
      <c r="D8" s="52" t="s">
        <v>378</v>
      </c>
      <c r="E8" s="56" t="s">
        <v>379</v>
      </c>
      <c r="F8" s="56" t="s">
        <v>380</v>
      </c>
      <c r="G8" s="56" t="s">
        <v>381</v>
      </c>
      <c r="H8" s="56" t="s">
        <v>382</v>
      </c>
      <c r="I8" s="56" t="s">
        <v>383</v>
      </c>
      <c r="J8" s="56" t="s">
        <v>384</v>
      </c>
      <c r="K8" s="56" t="s">
        <v>385</v>
      </c>
      <c r="L8" s="180"/>
      <c r="M8" s="180" t="s">
        <v>387</v>
      </c>
      <c r="N8" s="181" t="s">
        <v>388</v>
      </c>
      <c r="O8" s="55" t="s">
        <v>389</v>
      </c>
      <c r="P8" s="180" t="s">
        <v>390</v>
      </c>
      <c r="Q8" s="180"/>
      <c r="R8" s="180"/>
      <c r="S8" s="55" t="s">
        <v>393</v>
      </c>
      <c r="T8" s="56" t="s">
        <v>395</v>
      </c>
      <c r="U8" s="56">
        <v>1</v>
      </c>
      <c r="V8" s="56">
        <v>2</v>
      </c>
      <c r="W8" s="56">
        <v>3</v>
      </c>
      <c r="X8" s="56">
        <v>4</v>
      </c>
      <c r="Y8" s="56">
        <v>5</v>
      </c>
      <c r="Z8" s="56">
        <v>6</v>
      </c>
      <c r="AB8" s="57" t="s">
        <v>396</v>
      </c>
      <c r="AC8" s="22" t="s">
        <v>397</v>
      </c>
      <c r="AD8" s="22" t="s">
        <v>398</v>
      </c>
      <c r="AE8" s="22" t="s">
        <v>399</v>
      </c>
      <c r="AF8" s="57" t="s">
        <v>1175</v>
      </c>
      <c r="AG8" s="57" t="s">
        <v>401</v>
      </c>
      <c r="AH8" s="22" t="s">
        <v>402</v>
      </c>
      <c r="AI8" s="22" t="s">
        <v>403</v>
      </c>
      <c r="AJ8" s="22" t="s">
        <v>397</v>
      </c>
      <c r="AK8" s="22" t="s">
        <v>398</v>
      </c>
      <c r="AL8" s="22" t="s">
        <v>399</v>
      </c>
      <c r="AM8" s="50"/>
    </row>
    <row r="9" spans="1:39" ht="15">
      <c r="A9" s="26" t="s">
        <v>1108</v>
      </c>
      <c r="B9" s="26" t="s">
        <v>1108</v>
      </c>
      <c r="E9" s="32"/>
      <c r="F9" s="32"/>
      <c r="G9" s="182"/>
      <c r="H9" s="32"/>
      <c r="I9" s="32"/>
      <c r="J9" s="32"/>
      <c r="K9" s="32"/>
      <c r="L9" s="32"/>
      <c r="M9" s="32"/>
      <c r="N9" s="32"/>
      <c r="O9" s="32"/>
      <c r="P9" s="32"/>
      <c r="Q9" s="56" t="str">
        <f>A9</f>
        <v>U11B</v>
      </c>
      <c r="R9" s="32"/>
      <c r="S9" s="32"/>
      <c r="T9" s="32"/>
      <c r="U9" s="32"/>
      <c r="V9" s="32"/>
      <c r="W9" s="32"/>
      <c r="X9" s="32"/>
      <c r="Y9" s="32"/>
      <c r="Z9" s="32"/>
      <c r="AF9" s="1"/>
      <c r="AG9" s="1"/>
      <c r="AH9" s="25"/>
      <c r="AI9" s="25"/>
      <c r="AJ9" s="25">
        <v>73</v>
      </c>
      <c r="AK9" s="25">
        <v>68</v>
      </c>
      <c r="AL9" s="25">
        <v>66</v>
      </c>
    </row>
    <row r="10" spans="1:39" ht="15">
      <c r="A10" s="1">
        <v>1</v>
      </c>
      <c r="B10" s="40">
        <f t="shared" ref="B10:B29" si="1">IF(OR(S10&lt;0,S11&lt;0),"="&amp;A10+S10&amp;" ",A10)</f>
        <v>1</v>
      </c>
      <c r="C10" s="1" t="s">
        <v>1109</v>
      </c>
      <c r="D10" s="1" t="s">
        <v>38</v>
      </c>
      <c r="E10" s="34">
        <v>24</v>
      </c>
      <c r="F10" s="32">
        <v>25</v>
      </c>
      <c r="G10" s="182"/>
      <c r="H10" s="32"/>
      <c r="I10" s="32">
        <v>25</v>
      </c>
      <c r="J10" s="32"/>
      <c r="K10" s="32">
        <f t="shared" ref="K10:K29" si="2">IFERROR(LARGE(E10:J10,1),0)+IF($D$7&gt;=2,IFERROR(LARGE(E10:J10,2),0),0)+IF($D$7&gt;=3,IFERROR(LARGE(E10:J10,3),0),0)+IF($D$7&gt;=4,IFERROR(LARGE(E10:J10,4),0),0)+IF($D$7&gt;=5,IFERROR(LARGE(E10:J10,5),0),0)+IF($D$7&gt;=6,IFERROR(LARGE(E10:J10,6),0),0)</f>
        <v>74</v>
      </c>
      <c r="L10" s="32"/>
      <c r="M10" s="32" t="s">
        <v>1176</v>
      </c>
      <c r="N10" s="32">
        <f t="shared" ref="N10:N29" si="3">K10-(ROW(K10)-ROW(K$8))/10000</f>
        <v>73.999799999999993</v>
      </c>
      <c r="O10" s="32">
        <f t="shared" ref="O10:O29" si="4">COUNT(E10:J10)</f>
        <v>3</v>
      </c>
      <c r="P10" s="32">
        <f t="shared" ref="P10:P29" ca="1" si="5">IF(AND(O10=1,OFFSET(D10,0,P$3)&gt;0),"Y",0)</f>
        <v>0</v>
      </c>
      <c r="Q10" s="33" t="s">
        <v>1108</v>
      </c>
      <c r="R10" s="175">
        <f t="shared" ref="R10:R29" si="6">1-(Q10=Q9)</f>
        <v>0</v>
      </c>
      <c r="S10" s="34">
        <f>-SUMPRODUCT((Q$8:Q9=Q10)*(T$8:T9=T10))</f>
        <v>0</v>
      </c>
      <c r="T10" s="35">
        <f t="shared" ref="T10:T29" si="7">K10+SUMPRODUCT(U$6:Z$6,U10:Z10)</f>
        <v>74.027739999999994</v>
      </c>
      <c r="U10" s="32">
        <v>25</v>
      </c>
      <c r="V10" s="32">
        <v>25</v>
      </c>
      <c r="W10" s="34">
        <v>24</v>
      </c>
      <c r="X10" s="182"/>
      <c r="Y10" s="32"/>
      <c r="Z10" s="32"/>
      <c r="AB10" s="36">
        <v>0</v>
      </c>
      <c r="AC10" s="36">
        <v>0</v>
      </c>
      <c r="AD10" s="36">
        <v>0</v>
      </c>
      <c r="AE10" s="36">
        <v>0</v>
      </c>
      <c r="AF10" s="37">
        <v>2</v>
      </c>
      <c r="AG10" s="38">
        <v>49.025799999999997</v>
      </c>
      <c r="AH10" s="39">
        <v>25</v>
      </c>
      <c r="AI10" s="32">
        <v>74</v>
      </c>
      <c r="AJ10" s="25" t="s">
        <v>1176</v>
      </c>
      <c r="AK10" s="25" t="s">
        <v>1177</v>
      </c>
      <c r="AL10" s="25" t="s">
        <v>1178</v>
      </c>
    </row>
    <row r="11" spans="1:39" ht="15">
      <c r="A11" s="1">
        <v>2</v>
      </c>
      <c r="B11" s="40">
        <f t="shared" si="1"/>
        <v>2</v>
      </c>
      <c r="C11" s="1" t="s">
        <v>1112</v>
      </c>
      <c r="D11" s="1" t="s">
        <v>1113</v>
      </c>
      <c r="E11" s="34"/>
      <c r="F11" s="32">
        <v>24</v>
      </c>
      <c r="G11" s="182">
        <v>24</v>
      </c>
      <c r="H11" s="32">
        <v>25</v>
      </c>
      <c r="I11" s="32">
        <v>22</v>
      </c>
      <c r="J11" s="32"/>
      <c r="K11" s="32">
        <f t="shared" si="2"/>
        <v>73</v>
      </c>
      <c r="L11" s="32"/>
      <c r="M11" s="32" t="s">
        <v>1177</v>
      </c>
      <c r="N11" s="32">
        <f t="shared" si="3"/>
        <v>72.999700000000004</v>
      </c>
      <c r="O11" s="32">
        <f t="shared" si="4"/>
        <v>4</v>
      </c>
      <c r="P11" s="32">
        <f t="shared" ca="1" si="5"/>
        <v>0</v>
      </c>
      <c r="Q11" s="33" t="s">
        <v>1108</v>
      </c>
      <c r="R11" s="175">
        <f t="shared" si="6"/>
        <v>0</v>
      </c>
      <c r="S11" s="34">
        <f>-SUMPRODUCT((Q$8:Q10=Q11)*(T$8:T10=T11))</f>
        <v>0</v>
      </c>
      <c r="T11" s="35">
        <f t="shared" si="7"/>
        <v>73.027640000000005</v>
      </c>
      <c r="U11" s="32">
        <v>25</v>
      </c>
      <c r="V11" s="32">
        <v>24</v>
      </c>
      <c r="W11" s="182">
        <v>24</v>
      </c>
      <c r="X11" s="32">
        <v>22</v>
      </c>
      <c r="Y11" s="34"/>
      <c r="Z11" s="32"/>
      <c r="AB11" s="36">
        <v>0</v>
      </c>
      <c r="AC11" s="36">
        <v>0</v>
      </c>
      <c r="AD11" s="36">
        <v>0</v>
      </c>
      <c r="AE11" s="36">
        <v>0</v>
      </c>
      <c r="AF11" s="37">
        <v>3</v>
      </c>
      <c r="AG11" s="38">
        <v>73.002473999999978</v>
      </c>
      <c r="AH11" s="39">
        <v>25</v>
      </c>
      <c r="AI11" s="32">
        <v>74</v>
      </c>
      <c r="AJ11" s="25" t="s">
        <v>1176</v>
      </c>
      <c r="AK11" s="25" t="s">
        <v>1177</v>
      </c>
      <c r="AL11" s="25"/>
    </row>
    <row r="12" spans="1:39" ht="15">
      <c r="A12" s="1">
        <v>3</v>
      </c>
      <c r="B12" s="40">
        <f t="shared" si="1"/>
        <v>3</v>
      </c>
      <c r="C12" s="1" t="s">
        <v>1110</v>
      </c>
      <c r="D12" s="1" t="s">
        <v>19</v>
      </c>
      <c r="E12" s="34"/>
      <c r="F12" s="32">
        <v>18</v>
      </c>
      <c r="G12" s="182">
        <v>22</v>
      </c>
      <c r="H12" s="32">
        <v>24</v>
      </c>
      <c r="I12" s="32">
        <v>24</v>
      </c>
      <c r="J12" s="32"/>
      <c r="K12" s="32">
        <f t="shared" si="2"/>
        <v>70</v>
      </c>
      <c r="L12" s="32"/>
      <c r="M12" s="32" t="s">
        <v>1178</v>
      </c>
      <c r="N12" s="32">
        <f t="shared" si="3"/>
        <v>69.999600000000001</v>
      </c>
      <c r="O12" s="32">
        <f t="shared" si="4"/>
        <v>4</v>
      </c>
      <c r="P12" s="32">
        <f t="shared" ca="1" si="5"/>
        <v>0</v>
      </c>
      <c r="Q12" s="33" t="s">
        <v>1108</v>
      </c>
      <c r="R12" s="175">
        <f t="shared" si="6"/>
        <v>0</v>
      </c>
      <c r="S12" s="34">
        <f>-SUMPRODUCT((Q$8:Q11=Q12)*(T$8:T11=T12))</f>
        <v>0</v>
      </c>
      <c r="T12" s="35">
        <f t="shared" si="7"/>
        <v>70.026619999999994</v>
      </c>
      <c r="U12" s="32">
        <v>24</v>
      </c>
      <c r="V12" s="32">
        <v>24</v>
      </c>
      <c r="W12" s="182">
        <v>22</v>
      </c>
      <c r="X12" s="32">
        <v>18</v>
      </c>
      <c r="Y12" s="34"/>
      <c r="Z12" s="32"/>
      <c r="AB12" s="36">
        <v>0</v>
      </c>
      <c r="AC12" s="36">
        <v>0</v>
      </c>
      <c r="AD12" s="36">
        <v>0</v>
      </c>
      <c r="AE12" s="36">
        <v>0</v>
      </c>
      <c r="AF12" s="37">
        <v>3</v>
      </c>
      <c r="AG12" s="38">
        <v>64.001562000000007</v>
      </c>
      <c r="AH12" s="39">
        <v>24</v>
      </c>
      <c r="AI12" s="32">
        <v>70</v>
      </c>
      <c r="AJ12" s="25"/>
      <c r="AK12" s="25" t="s">
        <v>1177</v>
      </c>
      <c r="AL12" s="25" t="s">
        <v>1178</v>
      </c>
    </row>
    <row r="13" spans="1:39" ht="15">
      <c r="A13" s="1">
        <v>4</v>
      </c>
      <c r="B13" s="40" t="str">
        <f t="shared" si="1"/>
        <v xml:space="preserve">=4 </v>
      </c>
      <c r="C13" s="1" t="s">
        <v>1114</v>
      </c>
      <c r="D13" s="1" t="s">
        <v>38</v>
      </c>
      <c r="E13" s="34">
        <v>21</v>
      </c>
      <c r="F13" s="32">
        <v>23</v>
      </c>
      <c r="G13" s="182">
        <v>23</v>
      </c>
      <c r="H13" s="32">
        <v>22</v>
      </c>
      <c r="I13" s="32">
        <v>21</v>
      </c>
      <c r="J13" s="32"/>
      <c r="K13" s="32">
        <f t="shared" si="2"/>
        <v>68</v>
      </c>
      <c r="L13" s="32"/>
      <c r="M13" s="32"/>
      <c r="N13" s="32">
        <f t="shared" si="3"/>
        <v>67.999499999999998</v>
      </c>
      <c r="O13" s="32">
        <f t="shared" si="4"/>
        <v>5</v>
      </c>
      <c r="P13" s="32">
        <f t="shared" ca="1" si="5"/>
        <v>0</v>
      </c>
      <c r="Q13" s="33" t="s">
        <v>1108</v>
      </c>
      <c r="R13" s="175">
        <f t="shared" si="6"/>
        <v>0</v>
      </c>
      <c r="S13" s="34">
        <f>-SUMPRODUCT((Q$8:Q12=Q13)*(T$8:T12=T13))</f>
        <v>0</v>
      </c>
      <c r="T13" s="35">
        <f t="shared" si="7"/>
        <v>68.02552</v>
      </c>
      <c r="U13" s="32">
        <v>23</v>
      </c>
      <c r="V13" s="182">
        <v>23</v>
      </c>
      <c r="W13" s="32">
        <v>22</v>
      </c>
      <c r="X13" s="34">
        <v>21</v>
      </c>
      <c r="Y13" s="32">
        <v>21</v>
      </c>
      <c r="Z13" s="32"/>
      <c r="AB13" s="36">
        <v>0</v>
      </c>
      <c r="AC13" s="36">
        <v>0</v>
      </c>
      <c r="AD13" s="36">
        <v>0</v>
      </c>
      <c r="AE13" s="36">
        <v>0</v>
      </c>
      <c r="AF13" s="37">
        <v>4</v>
      </c>
      <c r="AG13" s="38">
        <v>68.023252000000014</v>
      </c>
      <c r="AH13" s="39">
        <v>23</v>
      </c>
      <c r="AI13" s="32">
        <v>69</v>
      </c>
      <c r="AJ13" s="25"/>
      <c r="AK13" s="25" t="s">
        <v>1177</v>
      </c>
      <c r="AL13" s="25" t="s">
        <v>1178</v>
      </c>
    </row>
    <row r="14" spans="1:39" ht="15">
      <c r="A14" s="1">
        <v>5</v>
      </c>
      <c r="B14" s="40" t="str">
        <f t="shared" si="1"/>
        <v xml:space="preserve">=4 </v>
      </c>
      <c r="C14" s="1" t="s">
        <v>1111</v>
      </c>
      <c r="D14" s="1" t="s">
        <v>29</v>
      </c>
      <c r="E14" s="34"/>
      <c r="F14" s="32">
        <v>22</v>
      </c>
      <c r="G14" s="182">
        <v>21</v>
      </c>
      <c r="H14" s="32">
        <v>23</v>
      </c>
      <c r="I14" s="32">
        <v>23</v>
      </c>
      <c r="J14" s="32"/>
      <c r="K14" s="32">
        <f t="shared" si="2"/>
        <v>68</v>
      </c>
      <c r="L14" s="32"/>
      <c r="M14" s="32"/>
      <c r="N14" s="32">
        <f t="shared" si="3"/>
        <v>67.999399999999994</v>
      </c>
      <c r="O14" s="32">
        <f t="shared" si="4"/>
        <v>4</v>
      </c>
      <c r="P14" s="32">
        <f t="shared" ca="1" si="5"/>
        <v>0</v>
      </c>
      <c r="Q14" s="33" t="s">
        <v>1108</v>
      </c>
      <c r="R14" s="175">
        <f t="shared" si="6"/>
        <v>0</v>
      </c>
      <c r="S14" s="34">
        <f>-SUMPRODUCT((Q$8:Q13=Q14)*(T$8:T13=T14))</f>
        <v>-1</v>
      </c>
      <c r="T14" s="35">
        <f t="shared" si="7"/>
        <v>68.02552</v>
      </c>
      <c r="U14" s="32">
        <v>23</v>
      </c>
      <c r="V14" s="32">
        <v>23</v>
      </c>
      <c r="W14" s="32">
        <v>22</v>
      </c>
      <c r="X14" s="182">
        <v>21</v>
      </c>
      <c r="Y14" s="34"/>
      <c r="Z14" s="32"/>
      <c r="AB14" s="36">
        <v>0</v>
      </c>
      <c r="AC14" s="36">
        <v>0</v>
      </c>
      <c r="AD14" s="36">
        <v>0</v>
      </c>
      <c r="AE14" s="36">
        <v>0</v>
      </c>
      <c r="AF14" s="37">
        <v>3</v>
      </c>
      <c r="AG14" s="38">
        <v>66.002051000000009</v>
      </c>
      <c r="AH14" s="39">
        <v>23</v>
      </c>
      <c r="AI14" s="32">
        <v>68</v>
      </c>
      <c r="AJ14" s="25"/>
      <c r="AK14" s="25" t="s">
        <v>1177</v>
      </c>
      <c r="AL14" s="25" t="s">
        <v>1178</v>
      </c>
    </row>
    <row r="15" spans="1:39" ht="15">
      <c r="A15" s="1">
        <v>6</v>
      </c>
      <c r="B15" s="40">
        <f t="shared" si="1"/>
        <v>6</v>
      </c>
      <c r="C15" s="1" t="s">
        <v>1115</v>
      </c>
      <c r="D15" s="1" t="s">
        <v>38</v>
      </c>
      <c r="E15" s="34"/>
      <c r="F15" s="32">
        <v>21</v>
      </c>
      <c r="G15" s="182">
        <v>20</v>
      </c>
      <c r="H15" s="32"/>
      <c r="I15" s="32">
        <v>20</v>
      </c>
      <c r="J15" s="32"/>
      <c r="K15" s="32">
        <f t="shared" si="2"/>
        <v>61</v>
      </c>
      <c r="L15" s="32"/>
      <c r="M15" s="32"/>
      <c r="N15" s="32">
        <f t="shared" si="3"/>
        <v>60.999299999999998</v>
      </c>
      <c r="O15" s="32">
        <f t="shared" si="4"/>
        <v>3</v>
      </c>
      <c r="P15" s="32">
        <f t="shared" ca="1" si="5"/>
        <v>0</v>
      </c>
      <c r="Q15" s="33" t="s">
        <v>1108</v>
      </c>
      <c r="R15" s="175">
        <f t="shared" si="6"/>
        <v>0</v>
      </c>
      <c r="S15" s="34">
        <f>-SUMPRODUCT((Q$8:Q14=Q15)*(T$8:T14=T15))</f>
        <v>0</v>
      </c>
      <c r="T15" s="35">
        <f t="shared" si="7"/>
        <v>61.023200000000003</v>
      </c>
      <c r="U15" s="32">
        <v>21</v>
      </c>
      <c r="V15" s="182">
        <v>20</v>
      </c>
      <c r="W15" s="32">
        <v>20</v>
      </c>
      <c r="X15" s="34"/>
      <c r="Y15" s="32"/>
      <c r="Z15" s="32"/>
      <c r="AB15" s="36">
        <v>0</v>
      </c>
      <c r="AC15" s="36">
        <v>0</v>
      </c>
      <c r="AD15" s="36">
        <v>0</v>
      </c>
      <c r="AE15" s="36">
        <v>0</v>
      </c>
      <c r="AF15" s="37">
        <v>2</v>
      </c>
      <c r="AG15" s="38">
        <v>41.0015</v>
      </c>
      <c r="AH15" s="39">
        <v>21</v>
      </c>
      <c r="AI15" s="32">
        <v>62</v>
      </c>
      <c r="AJ15" s="25"/>
      <c r="AK15" s="25"/>
      <c r="AL15" s="25"/>
    </row>
    <row r="16" spans="1:39" ht="15">
      <c r="A16" s="1">
        <v>7</v>
      </c>
      <c r="B16" s="40">
        <f t="shared" si="1"/>
        <v>7</v>
      </c>
      <c r="C16" s="1" t="s">
        <v>1117</v>
      </c>
      <c r="D16" s="1" t="s">
        <v>38</v>
      </c>
      <c r="E16" s="34">
        <v>17</v>
      </c>
      <c r="F16" s="32">
        <v>19</v>
      </c>
      <c r="G16" s="182">
        <v>19</v>
      </c>
      <c r="H16" s="32">
        <v>21</v>
      </c>
      <c r="I16" s="32">
        <v>18</v>
      </c>
      <c r="J16" s="32"/>
      <c r="K16" s="32">
        <f t="shared" si="2"/>
        <v>59</v>
      </c>
      <c r="L16" s="32"/>
      <c r="M16" s="32"/>
      <c r="N16" s="32">
        <f t="shared" si="3"/>
        <v>58.999200000000002</v>
      </c>
      <c r="O16" s="32">
        <f t="shared" si="4"/>
        <v>5</v>
      </c>
      <c r="P16" s="32">
        <f t="shared" ca="1" si="5"/>
        <v>0</v>
      </c>
      <c r="Q16" s="33" t="s">
        <v>1108</v>
      </c>
      <c r="R16" s="175">
        <f t="shared" si="6"/>
        <v>0</v>
      </c>
      <c r="S16" s="34">
        <f>-SUMPRODUCT((Q$8:Q15=Q16)*(T$8:T15=T16))</f>
        <v>0</v>
      </c>
      <c r="T16" s="35">
        <f t="shared" si="7"/>
        <v>59.023090000000003</v>
      </c>
      <c r="U16" s="32">
        <v>21</v>
      </c>
      <c r="V16" s="32">
        <v>19</v>
      </c>
      <c r="W16" s="182">
        <v>19</v>
      </c>
      <c r="X16" s="32">
        <v>18</v>
      </c>
      <c r="Y16" s="34">
        <v>17</v>
      </c>
      <c r="Z16" s="32"/>
      <c r="AB16" s="36">
        <v>0</v>
      </c>
      <c r="AC16" s="36">
        <v>0</v>
      </c>
      <c r="AD16" s="36">
        <v>0</v>
      </c>
      <c r="AE16" s="36">
        <v>0</v>
      </c>
      <c r="AF16" s="37">
        <v>4</v>
      </c>
      <c r="AG16" s="38">
        <v>59.018529000000008</v>
      </c>
      <c r="AH16" s="39">
        <v>21</v>
      </c>
      <c r="AI16" s="32">
        <v>61</v>
      </c>
      <c r="AJ16" s="25"/>
      <c r="AK16" s="25"/>
      <c r="AL16" s="25"/>
    </row>
    <row r="17" spans="1:38" ht="15">
      <c r="A17" s="1">
        <v>8</v>
      </c>
      <c r="B17" s="40">
        <f t="shared" si="1"/>
        <v>8</v>
      </c>
      <c r="C17" s="1" t="s">
        <v>1116</v>
      </c>
      <c r="D17" s="1" t="s">
        <v>29</v>
      </c>
      <c r="E17" s="34">
        <v>20</v>
      </c>
      <c r="F17" s="32">
        <v>20</v>
      </c>
      <c r="G17" s="182"/>
      <c r="H17" s="32"/>
      <c r="I17" s="32">
        <v>19</v>
      </c>
      <c r="J17" s="32"/>
      <c r="K17" s="32">
        <f t="shared" si="2"/>
        <v>59</v>
      </c>
      <c r="L17" s="32"/>
      <c r="M17" s="32"/>
      <c r="N17" s="32">
        <f t="shared" si="3"/>
        <v>58.999099999999999</v>
      </c>
      <c r="O17" s="32">
        <f t="shared" si="4"/>
        <v>3</v>
      </c>
      <c r="P17" s="32">
        <f t="shared" ca="1" si="5"/>
        <v>0</v>
      </c>
      <c r="Q17" s="33" t="s">
        <v>1108</v>
      </c>
      <c r="R17" s="175">
        <f t="shared" si="6"/>
        <v>0</v>
      </c>
      <c r="S17" s="34">
        <f>-SUMPRODUCT((Q$8:Q16=Q17)*(T$8:T16=T17))</f>
        <v>0</v>
      </c>
      <c r="T17" s="35">
        <f t="shared" si="7"/>
        <v>59.022190000000002</v>
      </c>
      <c r="U17" s="34">
        <v>20</v>
      </c>
      <c r="V17" s="32">
        <v>20</v>
      </c>
      <c r="W17" s="32">
        <v>19</v>
      </c>
      <c r="X17" s="182"/>
      <c r="Y17" s="32"/>
      <c r="Z17" s="32"/>
      <c r="AB17" s="36">
        <v>0</v>
      </c>
      <c r="AC17" s="36">
        <v>0</v>
      </c>
      <c r="AD17" s="36">
        <v>0</v>
      </c>
      <c r="AE17" s="36">
        <v>0</v>
      </c>
      <c r="AF17" s="37">
        <v>2</v>
      </c>
      <c r="AG17" s="38">
        <v>40.021100000000004</v>
      </c>
      <c r="AH17" s="39">
        <v>20</v>
      </c>
      <c r="AI17" s="32">
        <v>60</v>
      </c>
      <c r="AJ17" s="25"/>
      <c r="AK17" s="25"/>
      <c r="AL17" s="25"/>
    </row>
    <row r="18" spans="1:38" ht="15">
      <c r="A18" s="1">
        <v>9</v>
      </c>
      <c r="B18" s="40">
        <f t="shared" si="1"/>
        <v>9</v>
      </c>
      <c r="C18" s="1" t="s">
        <v>1179</v>
      </c>
      <c r="D18" s="1" t="s">
        <v>38</v>
      </c>
      <c r="E18" s="34">
        <v>19</v>
      </c>
      <c r="F18" s="32"/>
      <c r="G18" s="182">
        <v>18</v>
      </c>
      <c r="H18" s="32"/>
      <c r="I18" s="32"/>
      <c r="J18" s="32"/>
      <c r="K18" s="32">
        <f t="shared" si="2"/>
        <v>37</v>
      </c>
      <c r="L18" s="32"/>
      <c r="M18" s="32"/>
      <c r="N18" s="32">
        <f t="shared" si="3"/>
        <v>36.999000000000002</v>
      </c>
      <c r="O18" s="32">
        <f t="shared" si="4"/>
        <v>2</v>
      </c>
      <c r="P18" s="32">
        <f t="shared" ca="1" si="5"/>
        <v>0</v>
      </c>
      <c r="Q18" s="33" t="s">
        <v>1108</v>
      </c>
      <c r="R18" s="175">
        <f t="shared" si="6"/>
        <v>0</v>
      </c>
      <c r="S18" s="34">
        <f>-SUMPRODUCT((Q$8:Q17=Q18)*(T$8:T17=T18))</f>
        <v>0</v>
      </c>
      <c r="T18" s="35">
        <f t="shared" si="7"/>
        <v>37.020800000000001</v>
      </c>
      <c r="U18" s="34">
        <v>19</v>
      </c>
      <c r="V18" s="182">
        <v>18</v>
      </c>
      <c r="W18" s="32"/>
      <c r="X18" s="32"/>
      <c r="Y18" s="32"/>
      <c r="Z18" s="32"/>
      <c r="AB18" s="36">
        <v>0</v>
      </c>
      <c r="AC18" s="36">
        <v>0</v>
      </c>
      <c r="AD18" s="36">
        <v>0</v>
      </c>
      <c r="AE18" s="36">
        <v>0</v>
      </c>
      <c r="AF18" s="37">
        <v>2</v>
      </c>
      <c r="AG18" s="38">
        <v>37.018180000000001</v>
      </c>
      <c r="AH18" s="39">
        <v>19</v>
      </c>
      <c r="AI18" s="32">
        <v>56</v>
      </c>
      <c r="AJ18" s="25"/>
      <c r="AK18" s="25"/>
      <c r="AL18" s="25"/>
    </row>
    <row r="19" spans="1:38" ht="15">
      <c r="A19" s="1">
        <v>10</v>
      </c>
      <c r="B19" s="40">
        <f t="shared" si="1"/>
        <v>10</v>
      </c>
      <c r="C19" s="1" t="s">
        <v>1180</v>
      </c>
      <c r="D19" s="1" t="s">
        <v>38</v>
      </c>
      <c r="E19" s="34"/>
      <c r="F19" s="32"/>
      <c r="G19" s="182">
        <v>17</v>
      </c>
      <c r="H19" s="32">
        <v>19</v>
      </c>
      <c r="I19" s="32"/>
      <c r="J19" s="32"/>
      <c r="K19" s="32">
        <f t="shared" si="2"/>
        <v>36</v>
      </c>
      <c r="L19" s="32"/>
      <c r="M19" s="32"/>
      <c r="N19" s="32">
        <f t="shared" si="3"/>
        <v>35.998899999999999</v>
      </c>
      <c r="O19" s="32">
        <f t="shared" si="4"/>
        <v>2</v>
      </c>
      <c r="P19" s="32">
        <f t="shared" ca="1" si="5"/>
        <v>0</v>
      </c>
      <c r="Q19" s="33" t="s">
        <v>1108</v>
      </c>
      <c r="R19" s="175">
        <f t="shared" si="6"/>
        <v>0</v>
      </c>
      <c r="S19" s="34">
        <f>-SUMPRODUCT((Q$8:Q18=Q19)*(T$8:T18=T19))</f>
        <v>0</v>
      </c>
      <c r="T19" s="35">
        <f t="shared" si="7"/>
        <v>36.020699999999998</v>
      </c>
      <c r="U19" s="32">
        <v>19</v>
      </c>
      <c r="V19" s="182">
        <v>17</v>
      </c>
      <c r="W19" s="34"/>
      <c r="X19" s="32"/>
      <c r="Y19" s="32"/>
      <c r="Z19" s="32"/>
      <c r="AB19" s="36">
        <v>0</v>
      </c>
      <c r="AC19" s="36">
        <v>0</v>
      </c>
      <c r="AD19" s="36">
        <v>0</v>
      </c>
      <c r="AE19" s="36">
        <v>0</v>
      </c>
      <c r="AF19" s="37">
        <v>2</v>
      </c>
      <c r="AG19" s="38">
        <v>35.999107000000002</v>
      </c>
      <c r="AH19" s="39">
        <v>19</v>
      </c>
      <c r="AI19" s="32">
        <v>55</v>
      </c>
      <c r="AJ19" s="25"/>
      <c r="AK19" s="25"/>
      <c r="AL19" s="25"/>
    </row>
    <row r="20" spans="1:38" ht="15">
      <c r="A20" s="1">
        <v>11</v>
      </c>
      <c r="B20" s="40">
        <f t="shared" si="1"/>
        <v>11</v>
      </c>
      <c r="C20" s="1" t="s">
        <v>1181</v>
      </c>
      <c r="D20" s="1" t="s">
        <v>61</v>
      </c>
      <c r="E20" s="34">
        <v>15</v>
      </c>
      <c r="F20" s="32">
        <v>17</v>
      </c>
      <c r="G20" s="182"/>
      <c r="H20" s="32"/>
      <c r="I20" s="32"/>
      <c r="J20" s="32"/>
      <c r="K20" s="32">
        <f t="shared" si="2"/>
        <v>32</v>
      </c>
      <c r="L20" s="32"/>
      <c r="M20" s="32"/>
      <c r="N20" s="32">
        <f t="shared" si="3"/>
        <v>31.998799999999999</v>
      </c>
      <c r="O20" s="32">
        <f t="shared" si="4"/>
        <v>2</v>
      </c>
      <c r="P20" s="32">
        <f t="shared" ca="1" si="5"/>
        <v>0</v>
      </c>
      <c r="Q20" s="33" t="s">
        <v>1108</v>
      </c>
      <c r="R20" s="175">
        <f t="shared" si="6"/>
        <v>0</v>
      </c>
      <c r="S20" s="34">
        <f>-SUMPRODUCT((Q$8:Q19=Q20)*(T$8:T19=T20))</f>
        <v>0</v>
      </c>
      <c r="T20" s="35">
        <f t="shared" si="7"/>
        <v>32.018500000000003</v>
      </c>
      <c r="U20" s="32">
        <v>17</v>
      </c>
      <c r="V20" s="34">
        <v>15</v>
      </c>
      <c r="W20" s="182"/>
      <c r="X20" s="32"/>
      <c r="Y20" s="32"/>
      <c r="Z20" s="32"/>
      <c r="AB20" s="36">
        <v>0</v>
      </c>
      <c r="AC20" s="36">
        <v>0</v>
      </c>
      <c r="AD20" s="36">
        <v>0</v>
      </c>
      <c r="AE20" s="36">
        <v>0</v>
      </c>
      <c r="AF20" s="37">
        <v>2</v>
      </c>
      <c r="AG20" s="38">
        <v>32.015499999999996</v>
      </c>
      <c r="AH20" s="39">
        <v>17</v>
      </c>
      <c r="AI20" s="32">
        <v>49</v>
      </c>
      <c r="AJ20" s="25"/>
      <c r="AK20" s="25"/>
      <c r="AL20" s="25"/>
    </row>
    <row r="21" spans="1:38" ht="15">
      <c r="A21" s="1">
        <v>12</v>
      </c>
      <c r="B21" s="40">
        <f t="shared" si="1"/>
        <v>12</v>
      </c>
      <c r="C21" s="1" t="s">
        <v>1182</v>
      </c>
      <c r="D21" s="1" t="s">
        <v>38</v>
      </c>
      <c r="E21" s="34">
        <v>14</v>
      </c>
      <c r="F21" s="32">
        <v>16</v>
      </c>
      <c r="G21" s="182"/>
      <c r="H21" s="32"/>
      <c r="I21" s="32"/>
      <c r="J21" s="32"/>
      <c r="K21" s="32">
        <f t="shared" si="2"/>
        <v>30</v>
      </c>
      <c r="L21" s="32"/>
      <c r="M21" s="32"/>
      <c r="N21" s="32">
        <f t="shared" si="3"/>
        <v>29.998699999999999</v>
      </c>
      <c r="O21" s="32">
        <f t="shared" si="4"/>
        <v>2</v>
      </c>
      <c r="P21" s="32">
        <f t="shared" ca="1" si="5"/>
        <v>0</v>
      </c>
      <c r="Q21" s="33" t="s">
        <v>1108</v>
      </c>
      <c r="R21" s="175">
        <f t="shared" si="6"/>
        <v>0</v>
      </c>
      <c r="S21" s="34">
        <f>-SUMPRODUCT((Q$8:Q20=Q21)*(T$8:T20=T21))</f>
        <v>0</v>
      </c>
      <c r="T21" s="35">
        <f t="shared" si="7"/>
        <v>30.017399999999999</v>
      </c>
      <c r="U21" s="32">
        <v>16</v>
      </c>
      <c r="V21" s="34">
        <v>14</v>
      </c>
      <c r="W21" s="182"/>
      <c r="X21" s="32"/>
      <c r="Y21" s="32"/>
      <c r="Z21" s="32"/>
      <c r="AB21" s="36">
        <v>0</v>
      </c>
      <c r="AC21" s="36">
        <v>0</v>
      </c>
      <c r="AD21" s="36">
        <v>0</v>
      </c>
      <c r="AE21" s="36">
        <v>0</v>
      </c>
      <c r="AF21" s="37">
        <v>2</v>
      </c>
      <c r="AG21" s="38">
        <v>30.014299999999999</v>
      </c>
      <c r="AH21" s="39">
        <v>16</v>
      </c>
      <c r="AI21" s="32">
        <v>46</v>
      </c>
      <c r="AJ21" s="25"/>
      <c r="AK21" s="25"/>
      <c r="AL21" s="25"/>
    </row>
    <row r="22" spans="1:38" ht="15">
      <c r="A22" s="1">
        <v>13</v>
      </c>
      <c r="B22" s="40" t="str">
        <f t="shared" si="1"/>
        <v xml:space="preserve">=13 </v>
      </c>
      <c r="C22" s="1" t="s">
        <v>1183</v>
      </c>
      <c r="D22" s="1" t="s">
        <v>29</v>
      </c>
      <c r="E22" s="34">
        <v>25</v>
      </c>
      <c r="F22" s="32"/>
      <c r="G22" s="182"/>
      <c r="H22" s="32"/>
      <c r="I22" s="32"/>
      <c r="J22" s="32"/>
      <c r="K22" s="32">
        <f t="shared" si="2"/>
        <v>25</v>
      </c>
      <c r="L22" s="32"/>
      <c r="M22" s="32"/>
      <c r="N22" s="32">
        <f t="shared" si="3"/>
        <v>24.9986</v>
      </c>
      <c r="O22" s="32">
        <f t="shared" si="4"/>
        <v>1</v>
      </c>
      <c r="P22" s="32">
        <f t="shared" ca="1" si="5"/>
        <v>0</v>
      </c>
      <c r="Q22" s="33" t="s">
        <v>1108</v>
      </c>
      <c r="R22" s="175">
        <f t="shared" si="6"/>
        <v>0</v>
      </c>
      <c r="S22" s="34">
        <f>-SUMPRODUCT((Q$8:Q21=Q22)*(T$8:T21=T22))</f>
        <v>0</v>
      </c>
      <c r="T22" s="35">
        <f t="shared" si="7"/>
        <v>25.024999999999999</v>
      </c>
      <c r="U22" s="34">
        <v>25</v>
      </c>
      <c r="V22" s="32"/>
      <c r="W22" s="182"/>
      <c r="X22" s="32"/>
      <c r="Y22" s="32"/>
      <c r="Z22" s="32"/>
      <c r="AB22" s="36">
        <v>0</v>
      </c>
      <c r="AC22" s="36">
        <v>0</v>
      </c>
      <c r="AD22" s="36">
        <v>0</v>
      </c>
      <c r="AE22" s="36">
        <v>0</v>
      </c>
      <c r="AF22" s="37">
        <v>1</v>
      </c>
      <c r="AG22" s="38">
        <v>25.023599999999998</v>
      </c>
      <c r="AH22" s="39">
        <v>25</v>
      </c>
      <c r="AI22" s="32">
        <v>50</v>
      </c>
      <c r="AJ22" s="25"/>
      <c r="AK22" s="25"/>
      <c r="AL22" s="25"/>
    </row>
    <row r="23" spans="1:38" ht="15">
      <c r="A23" s="1">
        <v>14</v>
      </c>
      <c r="B23" s="40" t="str">
        <f t="shared" si="1"/>
        <v xml:space="preserve">=13 </v>
      </c>
      <c r="C23" s="1" t="s">
        <v>1184</v>
      </c>
      <c r="D23" s="1" t="s">
        <v>201</v>
      </c>
      <c r="E23" s="34"/>
      <c r="F23" s="32"/>
      <c r="G23" s="182">
        <v>25</v>
      </c>
      <c r="H23" s="32"/>
      <c r="I23" s="32"/>
      <c r="J23" s="32"/>
      <c r="K23" s="32">
        <f t="shared" si="2"/>
        <v>25</v>
      </c>
      <c r="L23" s="32"/>
      <c r="M23" s="32"/>
      <c r="N23" s="32">
        <f t="shared" si="3"/>
        <v>24.9985</v>
      </c>
      <c r="O23" s="32">
        <f t="shared" si="4"/>
        <v>1</v>
      </c>
      <c r="P23" s="32">
        <f t="shared" ca="1" si="5"/>
        <v>0</v>
      </c>
      <c r="Q23" s="33" t="s">
        <v>1108</v>
      </c>
      <c r="R23" s="175">
        <f t="shared" si="6"/>
        <v>0</v>
      </c>
      <c r="S23" s="34">
        <f>-SUMPRODUCT((Q$8:Q22=Q23)*(T$8:T22=T23))</f>
        <v>-1</v>
      </c>
      <c r="T23" s="35">
        <f t="shared" si="7"/>
        <v>25.024999999999999</v>
      </c>
      <c r="U23" s="182">
        <v>25</v>
      </c>
      <c r="V23" s="34"/>
      <c r="W23" s="32"/>
      <c r="X23" s="32"/>
      <c r="Y23" s="32"/>
      <c r="Z23" s="32"/>
      <c r="AB23" s="36">
        <v>0</v>
      </c>
      <c r="AC23" s="36">
        <v>0</v>
      </c>
      <c r="AD23" s="36">
        <v>0</v>
      </c>
      <c r="AE23" s="36">
        <v>0</v>
      </c>
      <c r="AF23" s="37">
        <v>1</v>
      </c>
      <c r="AG23" s="38">
        <v>24.998750000000001</v>
      </c>
      <c r="AH23" s="39">
        <v>25</v>
      </c>
      <c r="AI23" s="32">
        <v>50</v>
      </c>
      <c r="AJ23" s="25"/>
      <c r="AK23" s="25"/>
      <c r="AL23" s="25"/>
    </row>
    <row r="24" spans="1:38" ht="15">
      <c r="A24" s="1">
        <v>15</v>
      </c>
      <c r="B24" s="40">
        <f t="shared" si="1"/>
        <v>15</v>
      </c>
      <c r="C24" s="1" t="s">
        <v>1185</v>
      </c>
      <c r="D24" s="1" t="s">
        <v>29</v>
      </c>
      <c r="E24" s="34">
        <v>23</v>
      </c>
      <c r="F24" s="32"/>
      <c r="G24" s="182"/>
      <c r="H24" s="32"/>
      <c r="I24" s="32"/>
      <c r="J24" s="32"/>
      <c r="K24" s="32">
        <f t="shared" si="2"/>
        <v>23</v>
      </c>
      <c r="L24" s="32"/>
      <c r="M24" s="32"/>
      <c r="N24" s="32">
        <f t="shared" si="3"/>
        <v>22.9984</v>
      </c>
      <c r="O24" s="32">
        <f t="shared" si="4"/>
        <v>1</v>
      </c>
      <c r="P24" s="32">
        <f t="shared" ca="1" si="5"/>
        <v>0</v>
      </c>
      <c r="Q24" s="33" t="s">
        <v>1108</v>
      </c>
      <c r="R24" s="175">
        <f t="shared" si="6"/>
        <v>0</v>
      </c>
      <c r="S24" s="34">
        <f>-SUMPRODUCT((Q$8:Q23=Q24)*(T$8:T23=T24))</f>
        <v>0</v>
      </c>
      <c r="T24" s="35">
        <f t="shared" si="7"/>
        <v>23.023</v>
      </c>
      <c r="U24" s="34">
        <v>23</v>
      </c>
      <c r="V24" s="32"/>
      <c r="W24" s="182"/>
      <c r="X24" s="32"/>
      <c r="Y24" s="32"/>
      <c r="Z24" s="32"/>
      <c r="AB24" s="36">
        <v>0</v>
      </c>
      <c r="AC24" s="36">
        <v>0</v>
      </c>
      <c r="AD24" s="36">
        <v>0</v>
      </c>
      <c r="AE24" s="36">
        <v>0</v>
      </c>
      <c r="AF24" s="37">
        <v>1</v>
      </c>
      <c r="AG24" s="38">
        <v>23.0214</v>
      </c>
      <c r="AH24" s="39">
        <v>23</v>
      </c>
      <c r="AI24" s="32">
        <v>46</v>
      </c>
      <c r="AJ24" s="25"/>
      <c r="AK24" s="25"/>
      <c r="AL24" s="25"/>
    </row>
    <row r="25" spans="1:38" ht="15">
      <c r="A25" s="1">
        <v>16</v>
      </c>
      <c r="B25" s="40">
        <f t="shared" si="1"/>
        <v>16</v>
      </c>
      <c r="C25" s="1" t="s">
        <v>1186</v>
      </c>
      <c r="D25" s="1" t="s">
        <v>29</v>
      </c>
      <c r="E25" s="34">
        <v>22</v>
      </c>
      <c r="F25" s="32"/>
      <c r="G25" s="182"/>
      <c r="H25" s="32"/>
      <c r="I25" s="32"/>
      <c r="J25" s="32"/>
      <c r="K25" s="32">
        <f t="shared" si="2"/>
        <v>22</v>
      </c>
      <c r="L25" s="32"/>
      <c r="M25" s="32"/>
      <c r="N25" s="32">
        <f t="shared" si="3"/>
        <v>21.9983</v>
      </c>
      <c r="O25" s="32">
        <f t="shared" si="4"/>
        <v>1</v>
      </c>
      <c r="P25" s="32">
        <f t="shared" ca="1" si="5"/>
        <v>0</v>
      </c>
      <c r="Q25" s="33" t="s">
        <v>1108</v>
      </c>
      <c r="R25" s="175">
        <f t="shared" si="6"/>
        <v>0</v>
      </c>
      <c r="S25" s="34">
        <f>-SUMPRODUCT((Q$8:Q24=Q25)*(T$8:T24=T25))</f>
        <v>0</v>
      </c>
      <c r="T25" s="35">
        <f t="shared" si="7"/>
        <v>22.021999999999998</v>
      </c>
      <c r="U25" s="34">
        <v>22</v>
      </c>
      <c r="V25" s="32"/>
      <c r="W25" s="182"/>
      <c r="X25" s="32"/>
      <c r="Y25" s="32"/>
      <c r="Z25" s="32"/>
      <c r="AB25" s="36">
        <v>0</v>
      </c>
      <c r="AC25" s="36">
        <v>0</v>
      </c>
      <c r="AD25" s="36">
        <v>0</v>
      </c>
      <c r="AE25" s="36">
        <v>0</v>
      </c>
      <c r="AF25" s="37">
        <v>1</v>
      </c>
      <c r="AG25" s="38">
        <v>22.020299999999999</v>
      </c>
      <c r="AH25" s="39">
        <v>22</v>
      </c>
      <c r="AI25" s="32">
        <v>44</v>
      </c>
      <c r="AJ25" s="25"/>
      <c r="AK25" s="25"/>
      <c r="AL25" s="25"/>
    </row>
    <row r="26" spans="1:38" ht="15">
      <c r="A26" s="1">
        <v>17</v>
      </c>
      <c r="B26" s="40">
        <f t="shared" si="1"/>
        <v>17</v>
      </c>
      <c r="C26" s="1" t="s">
        <v>1187</v>
      </c>
      <c r="D26" s="1" t="s">
        <v>61</v>
      </c>
      <c r="E26" s="34"/>
      <c r="F26" s="32"/>
      <c r="G26" s="182"/>
      <c r="H26" s="32">
        <v>20</v>
      </c>
      <c r="I26" s="32"/>
      <c r="J26" s="32"/>
      <c r="K26" s="32">
        <f t="shared" si="2"/>
        <v>20</v>
      </c>
      <c r="L26" s="32"/>
      <c r="M26" s="32"/>
      <c r="N26" s="32">
        <f t="shared" si="3"/>
        <v>19.998200000000001</v>
      </c>
      <c r="O26" s="32">
        <f t="shared" si="4"/>
        <v>1</v>
      </c>
      <c r="P26" s="32">
        <f t="shared" ca="1" si="5"/>
        <v>0</v>
      </c>
      <c r="Q26" s="33" t="s">
        <v>1108</v>
      </c>
      <c r="R26" s="175">
        <f t="shared" si="6"/>
        <v>0</v>
      </c>
      <c r="S26" s="34">
        <f>-SUMPRODUCT((Q$8:Q25=Q26)*(T$8:T25=T26))</f>
        <v>0</v>
      </c>
      <c r="T26" s="35">
        <f t="shared" si="7"/>
        <v>20.02</v>
      </c>
      <c r="U26" s="32">
        <v>20</v>
      </c>
      <c r="V26" s="34"/>
      <c r="W26" s="32"/>
      <c r="X26" s="182"/>
      <c r="Y26" s="32"/>
      <c r="Z26" s="32"/>
      <c r="AB26" s="36">
        <v>0</v>
      </c>
      <c r="AC26" s="36">
        <v>0</v>
      </c>
      <c r="AD26" s="36">
        <v>0</v>
      </c>
      <c r="AE26" s="36">
        <v>0</v>
      </c>
      <c r="AF26" s="37">
        <v>1</v>
      </c>
      <c r="AG26" s="38">
        <v>19.9984</v>
      </c>
      <c r="AH26" s="39">
        <v>20</v>
      </c>
      <c r="AI26" s="32">
        <v>40</v>
      </c>
      <c r="AJ26" s="25"/>
      <c r="AK26" s="25"/>
      <c r="AL26" s="25"/>
    </row>
    <row r="27" spans="1:38" ht="15">
      <c r="A27" s="1">
        <v>18</v>
      </c>
      <c r="B27" s="40">
        <f t="shared" si="1"/>
        <v>18</v>
      </c>
      <c r="C27" s="1" t="s">
        <v>1188</v>
      </c>
      <c r="D27" s="1" t="s">
        <v>201</v>
      </c>
      <c r="E27" s="34">
        <v>18</v>
      </c>
      <c r="F27" s="32"/>
      <c r="G27" s="182"/>
      <c r="H27" s="32"/>
      <c r="I27" s="32"/>
      <c r="J27" s="32"/>
      <c r="K27" s="32">
        <f t="shared" si="2"/>
        <v>18</v>
      </c>
      <c r="L27" s="32"/>
      <c r="M27" s="32"/>
      <c r="N27" s="32">
        <f t="shared" si="3"/>
        <v>17.998100000000001</v>
      </c>
      <c r="O27" s="32">
        <f t="shared" si="4"/>
        <v>1</v>
      </c>
      <c r="P27" s="32">
        <f t="shared" ca="1" si="5"/>
        <v>0</v>
      </c>
      <c r="Q27" s="33" t="s">
        <v>1108</v>
      </c>
      <c r="R27" s="175">
        <f t="shared" si="6"/>
        <v>0</v>
      </c>
      <c r="S27" s="34">
        <f>-SUMPRODUCT((Q$8:Q26=Q27)*(T$8:T26=T27))</f>
        <v>0</v>
      </c>
      <c r="T27" s="35">
        <f t="shared" si="7"/>
        <v>18.018000000000001</v>
      </c>
      <c r="U27" s="34">
        <v>18</v>
      </c>
      <c r="V27" s="32"/>
      <c r="W27" s="182"/>
      <c r="X27" s="32"/>
      <c r="Y27" s="32"/>
      <c r="Z27" s="32"/>
      <c r="AB27" s="36">
        <v>0</v>
      </c>
      <c r="AC27" s="36">
        <v>0</v>
      </c>
      <c r="AD27" s="36">
        <v>0</v>
      </c>
      <c r="AE27" s="36">
        <v>0</v>
      </c>
      <c r="AF27" s="37">
        <v>1</v>
      </c>
      <c r="AG27" s="38">
        <v>18.016100000000002</v>
      </c>
      <c r="AH27" s="39">
        <v>18</v>
      </c>
      <c r="AI27" s="32">
        <v>36</v>
      </c>
      <c r="AJ27" s="25"/>
      <c r="AK27" s="25"/>
      <c r="AL27" s="25"/>
    </row>
    <row r="28" spans="1:38" ht="15">
      <c r="A28" s="1">
        <v>19</v>
      </c>
      <c r="B28" s="40">
        <f t="shared" si="1"/>
        <v>19</v>
      </c>
      <c r="C28" s="1" t="s">
        <v>1189</v>
      </c>
      <c r="D28" s="1" t="s">
        <v>29</v>
      </c>
      <c r="E28" s="34">
        <v>16</v>
      </c>
      <c r="F28" s="32"/>
      <c r="G28" s="182"/>
      <c r="H28" s="32"/>
      <c r="I28" s="32"/>
      <c r="J28" s="32"/>
      <c r="K28" s="32">
        <f t="shared" si="2"/>
        <v>16</v>
      </c>
      <c r="L28" s="32"/>
      <c r="M28" s="32"/>
      <c r="N28" s="32">
        <f t="shared" si="3"/>
        <v>15.997999999999999</v>
      </c>
      <c r="O28" s="32">
        <f t="shared" si="4"/>
        <v>1</v>
      </c>
      <c r="P28" s="32">
        <f t="shared" ca="1" si="5"/>
        <v>0</v>
      </c>
      <c r="Q28" s="33" t="s">
        <v>1108</v>
      </c>
      <c r="R28" s="175">
        <f t="shared" si="6"/>
        <v>0</v>
      </c>
      <c r="S28" s="34">
        <f>-SUMPRODUCT((Q$8:Q27=Q28)*(T$8:T27=T28))</f>
        <v>0</v>
      </c>
      <c r="T28" s="35">
        <f t="shared" si="7"/>
        <v>16.015999999999998</v>
      </c>
      <c r="U28" s="34">
        <v>16</v>
      </c>
      <c r="V28" s="32"/>
      <c r="W28" s="182"/>
      <c r="X28" s="32"/>
      <c r="Y28" s="32"/>
      <c r="Z28" s="32"/>
      <c r="AB28" s="36">
        <v>0</v>
      </c>
      <c r="AC28" s="36">
        <v>0</v>
      </c>
      <c r="AD28" s="36">
        <v>0</v>
      </c>
      <c r="AE28" s="36">
        <v>0</v>
      </c>
      <c r="AF28" s="37">
        <v>1</v>
      </c>
      <c r="AG28" s="38">
        <v>16.013999999999999</v>
      </c>
      <c r="AH28" s="39">
        <v>16</v>
      </c>
      <c r="AI28" s="32">
        <v>32</v>
      </c>
      <c r="AJ28" s="25"/>
      <c r="AK28" s="25"/>
      <c r="AL28" s="25"/>
    </row>
    <row r="29" spans="1:38" ht="15">
      <c r="A29" s="1">
        <v>20</v>
      </c>
      <c r="B29" s="40">
        <f t="shared" si="1"/>
        <v>20</v>
      </c>
      <c r="C29" s="1" t="s">
        <v>1190</v>
      </c>
      <c r="D29" s="1" t="s">
        <v>1113</v>
      </c>
      <c r="E29" s="34">
        <v>13</v>
      </c>
      <c r="F29" s="32"/>
      <c r="G29" s="182"/>
      <c r="H29" s="32"/>
      <c r="I29" s="32"/>
      <c r="J29" s="32"/>
      <c r="K29" s="32">
        <f t="shared" si="2"/>
        <v>13</v>
      </c>
      <c r="L29" s="32"/>
      <c r="M29" s="32"/>
      <c r="N29" s="32">
        <f t="shared" si="3"/>
        <v>12.9979</v>
      </c>
      <c r="O29" s="32">
        <f t="shared" si="4"/>
        <v>1</v>
      </c>
      <c r="P29" s="32">
        <f t="shared" ca="1" si="5"/>
        <v>0</v>
      </c>
      <c r="Q29" s="33" t="s">
        <v>1108</v>
      </c>
      <c r="R29" s="175">
        <f t="shared" si="6"/>
        <v>0</v>
      </c>
      <c r="S29" s="34">
        <f>-SUMPRODUCT((Q$8:Q28=Q29)*(T$8:T28=T29))</f>
        <v>0</v>
      </c>
      <c r="T29" s="35">
        <f t="shared" si="7"/>
        <v>13.013</v>
      </c>
      <c r="U29" s="34">
        <v>13</v>
      </c>
      <c r="V29" s="32"/>
      <c r="W29" s="182"/>
      <c r="X29" s="32"/>
      <c r="Y29" s="32"/>
      <c r="Z29" s="32"/>
      <c r="AB29" s="36">
        <v>0</v>
      </c>
      <c r="AC29" s="36">
        <v>0</v>
      </c>
      <c r="AD29" s="36">
        <v>0</v>
      </c>
      <c r="AE29" s="36">
        <v>0</v>
      </c>
      <c r="AF29" s="37">
        <v>1</v>
      </c>
      <c r="AG29" s="38">
        <v>13.010899999999999</v>
      </c>
      <c r="AH29" s="39">
        <v>13</v>
      </c>
      <c r="AI29" s="32">
        <v>26</v>
      </c>
      <c r="AJ29" s="25"/>
      <c r="AK29" s="25"/>
      <c r="AL29" s="25"/>
    </row>
    <row r="30" spans="1:38" ht="3" customHeight="1">
      <c r="D30" s="179"/>
      <c r="E30" s="183"/>
      <c r="F30" s="184"/>
      <c r="G30" s="184"/>
      <c r="H30" s="32"/>
      <c r="I30" s="185"/>
      <c r="J30" s="32"/>
      <c r="K30" s="32"/>
      <c r="L30" s="32"/>
      <c r="M30" s="32"/>
      <c r="N30" s="32"/>
      <c r="O30" s="32"/>
      <c r="P30" s="32"/>
      <c r="Q30" s="32"/>
      <c r="R30" s="32"/>
      <c r="S30" s="35"/>
      <c r="T30" s="35"/>
      <c r="U30" s="32"/>
      <c r="V30" s="32"/>
      <c r="W30" s="32"/>
      <c r="X30" s="32"/>
      <c r="Y30" s="32"/>
      <c r="Z30" s="32"/>
      <c r="AF30" s="1"/>
      <c r="AG30" s="39"/>
      <c r="AH30" s="25"/>
      <c r="AI30" s="25"/>
      <c r="AJ30" s="25"/>
      <c r="AK30" s="25"/>
      <c r="AL30" s="25"/>
    </row>
    <row r="31" spans="1:38" ht="15">
      <c r="D31" s="179"/>
      <c r="E31" s="183"/>
      <c r="F31" s="184"/>
      <c r="G31" s="184"/>
      <c r="H31" s="32"/>
      <c r="I31" s="185"/>
      <c r="J31" s="32"/>
      <c r="K31" s="32"/>
      <c r="L31" s="32"/>
      <c r="M31" s="32"/>
      <c r="N31" s="32"/>
      <c r="O31" s="32"/>
      <c r="P31" s="32"/>
      <c r="Q31" s="32"/>
      <c r="R31" s="32"/>
      <c r="S31" s="35"/>
      <c r="T31" s="35"/>
      <c r="U31" s="32"/>
      <c r="V31" s="32"/>
      <c r="W31" s="32"/>
      <c r="X31" s="32"/>
      <c r="Y31" s="32"/>
      <c r="Z31" s="32"/>
      <c r="AF31" s="1"/>
      <c r="AG31" s="39"/>
      <c r="AH31" s="25"/>
      <c r="AI31" s="25"/>
      <c r="AJ31" s="25"/>
      <c r="AK31" s="25"/>
      <c r="AL31" s="25"/>
    </row>
    <row r="32" spans="1:38" ht="15">
      <c r="A32" s="26" t="s">
        <v>1118</v>
      </c>
      <c r="B32" s="26" t="s">
        <v>1118</v>
      </c>
      <c r="D32" s="179"/>
      <c r="E32" s="183"/>
      <c r="F32" s="184"/>
      <c r="G32" s="184"/>
      <c r="H32" s="32"/>
      <c r="I32" s="32"/>
      <c r="J32" s="32"/>
      <c r="K32" s="32"/>
      <c r="L32" s="32"/>
      <c r="M32" s="32"/>
      <c r="N32" s="32"/>
      <c r="O32" s="32"/>
      <c r="P32" s="32"/>
      <c r="Q32" s="56" t="str">
        <f>A32</f>
        <v>U11G</v>
      </c>
      <c r="R32" s="32"/>
      <c r="S32" s="35"/>
      <c r="T32" s="35"/>
      <c r="U32" s="32"/>
      <c r="V32" s="32"/>
      <c r="W32" s="32"/>
      <c r="X32" s="32"/>
      <c r="Y32" s="32"/>
      <c r="Z32" s="32"/>
      <c r="AF32" s="1"/>
      <c r="AG32" s="39"/>
      <c r="AH32" s="25"/>
      <c r="AI32" s="25"/>
      <c r="AJ32" s="25">
        <v>74</v>
      </c>
      <c r="AK32" s="25">
        <v>70</v>
      </c>
      <c r="AL32" s="25">
        <v>68</v>
      </c>
    </row>
    <row r="33" spans="1:38">
      <c r="A33" s="1">
        <v>1</v>
      </c>
      <c r="B33" s="40">
        <f t="shared" ref="B33:B60" si="8">IF(OR(S33&lt;0,S34&lt;0),"="&amp;A33+S33&amp;" ",A33)</f>
        <v>1</v>
      </c>
      <c r="C33" s="1" t="s">
        <v>1119</v>
      </c>
      <c r="D33" s="166" t="s">
        <v>1113</v>
      </c>
      <c r="E33" s="186">
        <v>25</v>
      </c>
      <c r="F33" s="184">
        <v>25</v>
      </c>
      <c r="G33" s="184"/>
      <c r="H33" s="32">
        <v>24</v>
      </c>
      <c r="I33" s="32">
        <v>25</v>
      </c>
      <c r="J33" s="32"/>
      <c r="K33" s="32">
        <f t="shared" ref="K33:K60" si="9">IFERROR(LARGE(E33:J33,1),0)+IF($D$7&gt;=2,IFERROR(LARGE(E33:J33,2),0),0)+IF($D$7&gt;=3,IFERROR(LARGE(E33:J33,3),0),0)+IF($D$7&gt;=4,IFERROR(LARGE(E33:J33,4),0),0)+IF($D$7&gt;=5,IFERROR(LARGE(E33:J33,5),0),0)+IF($D$7&gt;=6,IFERROR(LARGE(E33:J33,6),0),0)</f>
        <v>75</v>
      </c>
      <c r="L33" s="32"/>
      <c r="M33" s="32" t="s">
        <v>1191</v>
      </c>
      <c r="N33" s="32">
        <f t="shared" ref="N33:N60" si="10">K33-(ROW(K33)-ROW(K$8))/10000</f>
        <v>74.997500000000002</v>
      </c>
      <c r="O33" s="32">
        <f t="shared" ref="O33:O60" si="11">COUNT(E33:J33)</f>
        <v>4</v>
      </c>
      <c r="P33" s="32">
        <f t="shared" ref="P33:P60" ca="1" si="12">IF(AND(O33=1,OFFSET(D33,0,P$3)&gt;0),"Y",0)</f>
        <v>0</v>
      </c>
      <c r="Q33" s="33" t="s">
        <v>1118</v>
      </c>
      <c r="R33" s="175">
        <f t="shared" ref="R33:R60" si="13">1-(Q33=Q32)</f>
        <v>0</v>
      </c>
      <c r="S33" s="34">
        <f>-SUMPRODUCT((Q$8:Q32=Q33)*(T$8:T32=T33))</f>
        <v>0</v>
      </c>
      <c r="T33" s="35">
        <f t="shared" ref="T33:T60" si="14">K33+SUMPRODUCT(U$6:Z$6,U33:Z33)</f>
        <v>75.027749999999997</v>
      </c>
      <c r="U33" s="186">
        <v>25</v>
      </c>
      <c r="V33" s="184">
        <v>25</v>
      </c>
      <c r="W33" s="32">
        <v>25</v>
      </c>
      <c r="X33" s="32">
        <v>24</v>
      </c>
      <c r="Y33" s="184"/>
      <c r="Z33" s="32"/>
      <c r="AB33" s="36">
        <v>0</v>
      </c>
      <c r="AC33" s="36">
        <v>0</v>
      </c>
      <c r="AD33" s="36">
        <v>0</v>
      </c>
      <c r="AE33" s="36">
        <v>0</v>
      </c>
      <c r="AF33" s="37">
        <v>3</v>
      </c>
      <c r="AG33" s="38">
        <v>74.025240000000011</v>
      </c>
      <c r="AH33" s="39">
        <v>25</v>
      </c>
      <c r="AI33" s="32">
        <v>75</v>
      </c>
      <c r="AJ33" s="25" t="s">
        <v>1191</v>
      </c>
      <c r="AK33" s="25" t="s">
        <v>1192</v>
      </c>
      <c r="AL33" s="25"/>
    </row>
    <row r="34" spans="1:38">
      <c r="A34" s="1">
        <v>2</v>
      </c>
      <c r="B34" s="40">
        <f t="shared" si="8"/>
        <v>2</v>
      </c>
      <c r="C34" s="1" t="s">
        <v>1120</v>
      </c>
      <c r="D34" s="166" t="s">
        <v>38</v>
      </c>
      <c r="E34" s="186">
        <v>24</v>
      </c>
      <c r="F34" s="184">
        <v>24</v>
      </c>
      <c r="G34" s="184">
        <v>18</v>
      </c>
      <c r="H34" s="32">
        <v>20</v>
      </c>
      <c r="I34" s="32">
        <v>24</v>
      </c>
      <c r="J34" s="32"/>
      <c r="K34" s="32">
        <f t="shared" si="9"/>
        <v>72</v>
      </c>
      <c r="L34" s="32"/>
      <c r="M34" s="32" t="s">
        <v>1192</v>
      </c>
      <c r="N34" s="32">
        <f t="shared" si="10"/>
        <v>71.997399999999999</v>
      </c>
      <c r="O34" s="32">
        <f t="shared" si="11"/>
        <v>5</v>
      </c>
      <c r="P34" s="32">
        <f t="shared" ca="1" si="12"/>
        <v>0</v>
      </c>
      <c r="Q34" s="33" t="s">
        <v>1118</v>
      </c>
      <c r="R34" s="175">
        <f t="shared" si="13"/>
        <v>0</v>
      </c>
      <c r="S34" s="34">
        <f>-SUMPRODUCT((Q$8:Q33=Q34)*(T$8:T33=T34))</f>
        <v>0</v>
      </c>
      <c r="T34" s="35">
        <f t="shared" si="14"/>
        <v>72.02664</v>
      </c>
      <c r="U34" s="186">
        <v>24</v>
      </c>
      <c r="V34" s="184">
        <v>24</v>
      </c>
      <c r="W34" s="32">
        <v>24</v>
      </c>
      <c r="X34" s="32">
        <v>20</v>
      </c>
      <c r="Y34" s="184">
        <v>18</v>
      </c>
      <c r="Z34" s="32"/>
      <c r="AB34" s="36">
        <v>0</v>
      </c>
      <c r="AC34" s="36">
        <v>0</v>
      </c>
      <c r="AD34" s="36">
        <v>0</v>
      </c>
      <c r="AE34" s="36">
        <v>0</v>
      </c>
      <c r="AF34" s="37">
        <v>4</v>
      </c>
      <c r="AG34" s="38">
        <v>68.023917999999995</v>
      </c>
      <c r="AH34" s="39">
        <v>24</v>
      </c>
      <c r="AI34" s="32">
        <v>72</v>
      </c>
      <c r="AJ34" s="25"/>
      <c r="AK34" s="25" t="s">
        <v>1192</v>
      </c>
      <c r="AL34" s="25" t="s">
        <v>1193</v>
      </c>
    </row>
    <row r="35" spans="1:38">
      <c r="A35" s="1">
        <v>3</v>
      </c>
      <c r="B35" s="40">
        <f t="shared" si="8"/>
        <v>3</v>
      </c>
      <c r="C35" s="1" t="s">
        <v>1123</v>
      </c>
      <c r="D35" s="166" t="s">
        <v>29</v>
      </c>
      <c r="E35" s="186">
        <v>23</v>
      </c>
      <c r="F35" s="184">
        <v>19</v>
      </c>
      <c r="G35" s="184">
        <v>25</v>
      </c>
      <c r="H35" s="32">
        <v>22</v>
      </c>
      <c r="I35" s="32">
        <v>21</v>
      </c>
      <c r="J35" s="32"/>
      <c r="K35" s="32">
        <f t="shared" si="9"/>
        <v>70</v>
      </c>
      <c r="L35" s="32"/>
      <c r="M35" s="32" t="s">
        <v>1193</v>
      </c>
      <c r="N35" s="32">
        <f t="shared" si="10"/>
        <v>69.997299999999996</v>
      </c>
      <c r="O35" s="32">
        <f t="shared" si="11"/>
        <v>5</v>
      </c>
      <c r="P35" s="32">
        <f t="shared" ca="1" si="12"/>
        <v>0</v>
      </c>
      <c r="Q35" s="33" t="s">
        <v>1118</v>
      </c>
      <c r="R35" s="175">
        <f t="shared" si="13"/>
        <v>0</v>
      </c>
      <c r="S35" s="34">
        <f>-SUMPRODUCT((Q$8:Q34=Q35)*(T$8:T34=T35))</f>
        <v>0</v>
      </c>
      <c r="T35" s="35">
        <f t="shared" si="14"/>
        <v>70.027519999999996</v>
      </c>
      <c r="U35" s="184">
        <v>25</v>
      </c>
      <c r="V35" s="186">
        <v>23</v>
      </c>
      <c r="W35" s="32">
        <v>22</v>
      </c>
      <c r="X35" s="32">
        <v>21</v>
      </c>
      <c r="Y35" s="184">
        <v>19</v>
      </c>
      <c r="Z35" s="32"/>
      <c r="AB35" s="36">
        <v>0</v>
      </c>
      <c r="AC35" s="36">
        <v>0</v>
      </c>
      <c r="AD35" s="36">
        <v>0</v>
      </c>
      <c r="AE35" s="36">
        <v>0</v>
      </c>
      <c r="AF35" s="37">
        <v>4</v>
      </c>
      <c r="AG35" s="38">
        <v>70.022571999999997</v>
      </c>
      <c r="AH35" s="39">
        <v>25</v>
      </c>
      <c r="AI35" s="32">
        <v>73</v>
      </c>
      <c r="AJ35" s="25"/>
      <c r="AK35" s="25" t="s">
        <v>1192</v>
      </c>
      <c r="AL35" s="25" t="s">
        <v>1193</v>
      </c>
    </row>
    <row r="36" spans="1:38">
      <c r="A36" s="1">
        <v>4</v>
      </c>
      <c r="B36" s="40">
        <f t="shared" si="8"/>
        <v>4</v>
      </c>
      <c r="C36" s="1" t="s">
        <v>1125</v>
      </c>
      <c r="D36" s="166" t="s">
        <v>38</v>
      </c>
      <c r="E36" s="186"/>
      <c r="F36" s="184"/>
      <c r="G36" s="184">
        <v>24</v>
      </c>
      <c r="H36" s="32">
        <v>25</v>
      </c>
      <c r="I36" s="32">
        <v>19</v>
      </c>
      <c r="J36" s="32"/>
      <c r="K36" s="32">
        <f t="shared" si="9"/>
        <v>68</v>
      </c>
      <c r="L36" s="32"/>
      <c r="M36" s="32"/>
      <c r="N36" s="32">
        <f t="shared" si="10"/>
        <v>67.997200000000007</v>
      </c>
      <c r="O36" s="32">
        <f t="shared" si="11"/>
        <v>3</v>
      </c>
      <c r="P36" s="32">
        <f t="shared" ca="1" si="12"/>
        <v>0</v>
      </c>
      <c r="Q36" s="33" t="s">
        <v>1118</v>
      </c>
      <c r="R36" s="175">
        <f t="shared" si="13"/>
        <v>0</v>
      </c>
      <c r="S36" s="34">
        <f>-SUMPRODUCT((Q$8:Q35=Q36)*(T$8:T35=T36))</f>
        <v>0</v>
      </c>
      <c r="T36" s="35">
        <f t="shared" si="14"/>
        <v>68.027590000000004</v>
      </c>
      <c r="U36" s="32">
        <v>25</v>
      </c>
      <c r="V36" s="184">
        <v>24</v>
      </c>
      <c r="W36" s="32">
        <v>19</v>
      </c>
      <c r="X36" s="186"/>
      <c r="Y36" s="184"/>
      <c r="Z36" s="32"/>
      <c r="AB36" s="36">
        <v>0</v>
      </c>
      <c r="AC36" s="36">
        <v>0</v>
      </c>
      <c r="AD36" s="36">
        <v>0</v>
      </c>
      <c r="AE36" s="36">
        <v>0</v>
      </c>
      <c r="AF36" s="37">
        <v>2</v>
      </c>
      <c r="AG36" s="38">
        <v>48.996974000000002</v>
      </c>
      <c r="AH36" s="39">
        <v>25</v>
      </c>
      <c r="AI36" s="32">
        <v>74</v>
      </c>
      <c r="AJ36" s="25" t="s">
        <v>1191</v>
      </c>
      <c r="AK36" s="25" t="s">
        <v>1192</v>
      </c>
      <c r="AL36" s="25" t="s">
        <v>1193</v>
      </c>
    </row>
    <row r="37" spans="1:38">
      <c r="A37" s="1">
        <v>5</v>
      </c>
      <c r="B37" s="40">
        <f t="shared" si="8"/>
        <v>5</v>
      </c>
      <c r="C37" s="1" t="s">
        <v>1122</v>
      </c>
      <c r="D37" s="166" t="s">
        <v>19</v>
      </c>
      <c r="E37" s="186">
        <v>22</v>
      </c>
      <c r="F37" s="184">
        <v>18</v>
      </c>
      <c r="G37" s="184">
        <v>23</v>
      </c>
      <c r="H37" s="32">
        <v>23</v>
      </c>
      <c r="I37" s="32">
        <v>22</v>
      </c>
      <c r="J37" s="32"/>
      <c r="K37" s="32">
        <f t="shared" si="9"/>
        <v>68</v>
      </c>
      <c r="L37" s="32"/>
      <c r="M37" s="32"/>
      <c r="N37" s="32">
        <f t="shared" si="10"/>
        <v>67.997100000000003</v>
      </c>
      <c r="O37" s="32">
        <f t="shared" si="11"/>
        <v>5</v>
      </c>
      <c r="P37" s="32">
        <f t="shared" ca="1" si="12"/>
        <v>0</v>
      </c>
      <c r="Q37" s="33" t="s">
        <v>1118</v>
      </c>
      <c r="R37" s="175">
        <f t="shared" si="13"/>
        <v>0</v>
      </c>
      <c r="S37" s="34">
        <f>-SUMPRODUCT((Q$8:Q36=Q37)*(T$8:T36=T37))</f>
        <v>0</v>
      </c>
      <c r="T37" s="35">
        <f t="shared" si="14"/>
        <v>68.02552</v>
      </c>
      <c r="U37" s="184">
        <v>23</v>
      </c>
      <c r="V37" s="32">
        <v>23</v>
      </c>
      <c r="W37" s="186">
        <v>22</v>
      </c>
      <c r="X37" s="32">
        <v>22</v>
      </c>
      <c r="Y37" s="184">
        <v>18</v>
      </c>
      <c r="Z37" s="32"/>
      <c r="AB37" s="36">
        <v>0</v>
      </c>
      <c r="AC37" s="36">
        <v>0</v>
      </c>
      <c r="AD37" s="36">
        <v>0</v>
      </c>
      <c r="AE37" s="36">
        <v>0</v>
      </c>
      <c r="AF37" s="37">
        <v>4</v>
      </c>
      <c r="AG37" s="38">
        <v>68.021253000000016</v>
      </c>
      <c r="AH37" s="39">
        <v>23</v>
      </c>
      <c r="AI37" s="32">
        <v>69</v>
      </c>
      <c r="AJ37" s="25"/>
      <c r="AK37" s="25"/>
      <c r="AL37" s="25" t="s">
        <v>1193</v>
      </c>
    </row>
    <row r="38" spans="1:38">
      <c r="A38" s="1">
        <v>6</v>
      </c>
      <c r="B38" s="40">
        <f t="shared" si="8"/>
        <v>6</v>
      </c>
      <c r="C38" s="1" t="s">
        <v>1124</v>
      </c>
      <c r="D38" s="166" t="s">
        <v>38</v>
      </c>
      <c r="E38" s="186">
        <v>18</v>
      </c>
      <c r="F38" s="184">
        <v>23</v>
      </c>
      <c r="G38" s="184">
        <v>22</v>
      </c>
      <c r="H38" s="32">
        <v>19</v>
      </c>
      <c r="I38" s="32">
        <v>20</v>
      </c>
      <c r="J38" s="32"/>
      <c r="K38" s="32">
        <f t="shared" si="9"/>
        <v>65</v>
      </c>
      <c r="L38" s="32"/>
      <c r="M38" s="32"/>
      <c r="N38" s="32">
        <f t="shared" si="10"/>
        <v>64.997</v>
      </c>
      <c r="O38" s="32">
        <f t="shared" si="11"/>
        <v>5</v>
      </c>
      <c r="P38" s="32">
        <f t="shared" ca="1" si="12"/>
        <v>0</v>
      </c>
      <c r="Q38" s="33" t="s">
        <v>1118</v>
      </c>
      <c r="R38" s="175">
        <f t="shared" si="13"/>
        <v>0</v>
      </c>
      <c r="S38" s="34">
        <f>-SUMPRODUCT((Q$8:Q37=Q38)*(T$8:T37=T38))</f>
        <v>0</v>
      </c>
      <c r="T38" s="35">
        <f t="shared" si="14"/>
        <v>65.025400000000005</v>
      </c>
      <c r="U38" s="184">
        <v>23</v>
      </c>
      <c r="V38" s="184">
        <v>22</v>
      </c>
      <c r="W38" s="32">
        <v>20</v>
      </c>
      <c r="X38" s="32">
        <v>19</v>
      </c>
      <c r="Y38" s="186">
        <v>18</v>
      </c>
      <c r="Z38" s="32"/>
      <c r="AB38" s="36">
        <v>0</v>
      </c>
      <c r="AC38" s="36">
        <v>0</v>
      </c>
      <c r="AD38" s="36">
        <v>0</v>
      </c>
      <c r="AE38" s="36">
        <v>0</v>
      </c>
      <c r="AF38" s="37">
        <v>4</v>
      </c>
      <c r="AG38" s="38">
        <v>64.017639000000003</v>
      </c>
      <c r="AH38" s="39">
        <v>23</v>
      </c>
      <c r="AI38" s="32">
        <v>68</v>
      </c>
      <c r="AJ38" s="25"/>
      <c r="AK38" s="25"/>
      <c r="AL38" s="25" t="s">
        <v>1193</v>
      </c>
    </row>
    <row r="39" spans="1:38">
      <c r="A39" s="1">
        <v>7</v>
      </c>
      <c r="B39" s="40">
        <f t="shared" si="8"/>
        <v>7</v>
      </c>
      <c r="C39" s="1" t="s">
        <v>1194</v>
      </c>
      <c r="D39" s="166" t="s">
        <v>38</v>
      </c>
      <c r="E39" s="186">
        <v>20</v>
      </c>
      <c r="F39" s="184">
        <v>21</v>
      </c>
      <c r="G39" s="184">
        <v>20</v>
      </c>
      <c r="H39" s="32"/>
      <c r="I39" s="32"/>
      <c r="J39" s="32"/>
      <c r="K39" s="32">
        <f t="shared" si="9"/>
        <v>61</v>
      </c>
      <c r="L39" s="32"/>
      <c r="M39" s="32"/>
      <c r="N39" s="32">
        <f t="shared" si="10"/>
        <v>60.996899999999997</v>
      </c>
      <c r="O39" s="32">
        <f t="shared" si="11"/>
        <v>3</v>
      </c>
      <c r="P39" s="32">
        <f t="shared" ca="1" si="12"/>
        <v>0</v>
      </c>
      <c r="Q39" s="33" t="s">
        <v>1118</v>
      </c>
      <c r="R39" s="175">
        <f t="shared" si="13"/>
        <v>0</v>
      </c>
      <c r="S39" s="34">
        <f>-SUMPRODUCT((Q$8:Q38=Q39)*(T$8:T38=T39))</f>
        <v>0</v>
      </c>
      <c r="T39" s="35">
        <f t="shared" si="14"/>
        <v>61.023200000000003</v>
      </c>
      <c r="U39" s="184">
        <v>21</v>
      </c>
      <c r="V39" s="186">
        <v>20</v>
      </c>
      <c r="W39" s="184">
        <v>20</v>
      </c>
      <c r="X39" s="32"/>
      <c r="Y39" s="32"/>
      <c r="Z39" s="32"/>
      <c r="AB39" s="36">
        <v>0</v>
      </c>
      <c r="AC39" s="36">
        <v>0</v>
      </c>
      <c r="AD39" s="36">
        <v>0</v>
      </c>
      <c r="AE39" s="36">
        <v>0</v>
      </c>
      <c r="AF39" s="37">
        <v>3</v>
      </c>
      <c r="AG39" s="38">
        <v>61.019300000000001</v>
      </c>
      <c r="AH39" s="39">
        <v>21</v>
      </c>
      <c r="AI39" s="32">
        <v>62</v>
      </c>
      <c r="AJ39" s="25"/>
      <c r="AK39" s="25"/>
      <c r="AL39" s="25"/>
    </row>
    <row r="40" spans="1:38">
      <c r="A40" s="1">
        <v>8</v>
      </c>
      <c r="B40" s="40">
        <f t="shared" si="8"/>
        <v>8</v>
      </c>
      <c r="C40" s="1" t="s">
        <v>1127</v>
      </c>
      <c r="D40" s="166" t="s">
        <v>38</v>
      </c>
      <c r="E40" s="186"/>
      <c r="F40" s="184">
        <v>22</v>
      </c>
      <c r="G40" s="184">
        <v>19</v>
      </c>
      <c r="H40" s="32">
        <v>18</v>
      </c>
      <c r="I40" s="32">
        <v>17</v>
      </c>
      <c r="J40" s="32"/>
      <c r="K40" s="32">
        <f t="shared" si="9"/>
        <v>59</v>
      </c>
      <c r="L40" s="32"/>
      <c r="M40" s="32"/>
      <c r="N40" s="32">
        <f t="shared" si="10"/>
        <v>58.9968</v>
      </c>
      <c r="O40" s="32">
        <f t="shared" si="11"/>
        <v>4</v>
      </c>
      <c r="P40" s="32">
        <f t="shared" ca="1" si="12"/>
        <v>0</v>
      </c>
      <c r="Q40" s="33" t="s">
        <v>1118</v>
      </c>
      <c r="R40" s="175">
        <f t="shared" si="13"/>
        <v>0</v>
      </c>
      <c r="S40" s="34">
        <f>-SUMPRODUCT((Q$8:Q39=Q40)*(T$8:T39=T40))</f>
        <v>0</v>
      </c>
      <c r="T40" s="35">
        <f t="shared" si="14"/>
        <v>59.024079999999998</v>
      </c>
      <c r="U40" s="184">
        <v>22</v>
      </c>
      <c r="V40" s="184">
        <v>19</v>
      </c>
      <c r="W40" s="32">
        <v>18</v>
      </c>
      <c r="X40" s="32">
        <v>17</v>
      </c>
      <c r="Y40" s="186"/>
      <c r="Z40" s="32"/>
      <c r="AB40" s="36">
        <v>0</v>
      </c>
      <c r="AC40" s="36">
        <v>0</v>
      </c>
      <c r="AD40" s="36">
        <v>0</v>
      </c>
      <c r="AE40" s="36">
        <v>0</v>
      </c>
      <c r="AF40" s="37">
        <v>3</v>
      </c>
      <c r="AG40" s="38">
        <v>58.999307999999999</v>
      </c>
      <c r="AH40" s="39">
        <v>22</v>
      </c>
      <c r="AI40" s="32">
        <v>63</v>
      </c>
      <c r="AJ40" s="25"/>
      <c r="AK40" s="25"/>
      <c r="AL40" s="25"/>
    </row>
    <row r="41" spans="1:38">
      <c r="A41" s="1">
        <v>9</v>
      </c>
      <c r="B41" s="40">
        <f t="shared" si="8"/>
        <v>9</v>
      </c>
      <c r="C41" s="1" t="s">
        <v>1195</v>
      </c>
      <c r="D41" s="166" t="s">
        <v>84</v>
      </c>
      <c r="E41" s="186">
        <v>14</v>
      </c>
      <c r="F41" s="184"/>
      <c r="G41" s="184">
        <v>21</v>
      </c>
      <c r="H41" s="32">
        <v>21</v>
      </c>
      <c r="I41" s="32"/>
      <c r="J41" s="32"/>
      <c r="K41" s="32">
        <f t="shared" si="9"/>
        <v>56</v>
      </c>
      <c r="L41" s="32"/>
      <c r="M41" s="32"/>
      <c r="N41" s="32">
        <f t="shared" si="10"/>
        <v>55.996699999999997</v>
      </c>
      <c r="O41" s="32">
        <f t="shared" si="11"/>
        <v>3</v>
      </c>
      <c r="P41" s="32">
        <f t="shared" ca="1" si="12"/>
        <v>0</v>
      </c>
      <c r="Q41" s="33" t="s">
        <v>1118</v>
      </c>
      <c r="R41" s="175">
        <f t="shared" si="13"/>
        <v>0</v>
      </c>
      <c r="S41" s="34">
        <f>-SUMPRODUCT((Q$8:Q40=Q41)*(T$8:T40=T41))</f>
        <v>0</v>
      </c>
      <c r="T41" s="35">
        <f t="shared" si="14"/>
        <v>56.023240000000001</v>
      </c>
      <c r="U41" s="184">
        <v>21</v>
      </c>
      <c r="V41" s="32">
        <v>21</v>
      </c>
      <c r="W41" s="186">
        <v>14</v>
      </c>
      <c r="X41" s="184"/>
      <c r="Y41" s="32"/>
      <c r="Z41" s="32"/>
      <c r="AB41" s="36">
        <v>0</v>
      </c>
      <c r="AC41" s="36">
        <v>0</v>
      </c>
      <c r="AD41" s="36">
        <v>0</v>
      </c>
      <c r="AE41" s="36">
        <v>0</v>
      </c>
      <c r="AF41" s="37">
        <v>3</v>
      </c>
      <c r="AG41" s="38">
        <v>56.011031000000003</v>
      </c>
      <c r="AH41" s="39">
        <v>21</v>
      </c>
      <c r="AI41" s="32">
        <v>63</v>
      </c>
      <c r="AJ41" s="25"/>
      <c r="AK41" s="25"/>
      <c r="AL41" s="25"/>
    </row>
    <row r="42" spans="1:38">
      <c r="A42" s="1">
        <v>10</v>
      </c>
      <c r="B42" s="40">
        <f t="shared" si="8"/>
        <v>10</v>
      </c>
      <c r="C42" s="1" t="s">
        <v>1130</v>
      </c>
      <c r="D42" s="166" t="s">
        <v>66</v>
      </c>
      <c r="E42" s="186">
        <v>10</v>
      </c>
      <c r="F42" s="184">
        <v>16</v>
      </c>
      <c r="G42" s="184">
        <v>15</v>
      </c>
      <c r="H42" s="32">
        <v>16</v>
      </c>
      <c r="I42" s="32">
        <v>14</v>
      </c>
      <c r="J42" s="32"/>
      <c r="K42" s="32">
        <f t="shared" si="9"/>
        <v>47</v>
      </c>
      <c r="L42" s="32"/>
      <c r="M42" s="32"/>
      <c r="N42" s="32">
        <f t="shared" si="10"/>
        <v>46.996600000000001</v>
      </c>
      <c r="O42" s="32">
        <f t="shared" si="11"/>
        <v>5</v>
      </c>
      <c r="P42" s="32">
        <f t="shared" ca="1" si="12"/>
        <v>0</v>
      </c>
      <c r="Q42" s="33" t="s">
        <v>1118</v>
      </c>
      <c r="R42" s="175">
        <f t="shared" si="13"/>
        <v>0</v>
      </c>
      <c r="S42" s="34">
        <f>-SUMPRODUCT((Q$8:Q41=Q42)*(T$8:T41=T42))</f>
        <v>0</v>
      </c>
      <c r="T42" s="35">
        <f t="shared" si="14"/>
        <v>47.017749999999999</v>
      </c>
      <c r="U42" s="184">
        <v>16</v>
      </c>
      <c r="V42" s="32">
        <v>16</v>
      </c>
      <c r="W42" s="184">
        <v>15</v>
      </c>
      <c r="X42" s="32">
        <v>14</v>
      </c>
      <c r="Y42" s="186">
        <v>10</v>
      </c>
      <c r="Z42" s="32"/>
      <c r="AB42" s="36">
        <v>0</v>
      </c>
      <c r="AC42" s="36">
        <v>0</v>
      </c>
      <c r="AD42" s="36">
        <v>0</v>
      </c>
      <c r="AE42" s="36">
        <v>0</v>
      </c>
      <c r="AF42" s="37">
        <v>4</v>
      </c>
      <c r="AG42" s="38">
        <v>47.008375000000001</v>
      </c>
      <c r="AH42" s="39">
        <v>16</v>
      </c>
      <c r="AI42" s="32">
        <v>48</v>
      </c>
      <c r="AJ42" s="25"/>
      <c r="AK42" s="25"/>
      <c r="AL42" s="25"/>
    </row>
    <row r="43" spans="1:38">
      <c r="A43" s="1">
        <v>11</v>
      </c>
      <c r="B43" s="40">
        <f t="shared" si="8"/>
        <v>11</v>
      </c>
      <c r="C43" s="1" t="s">
        <v>1196</v>
      </c>
      <c r="D43" s="166" t="s">
        <v>61</v>
      </c>
      <c r="E43" s="186">
        <v>11</v>
      </c>
      <c r="F43" s="184"/>
      <c r="G43" s="184">
        <v>17</v>
      </c>
      <c r="H43" s="32">
        <v>17</v>
      </c>
      <c r="I43" s="32"/>
      <c r="J43" s="32"/>
      <c r="K43" s="32">
        <f t="shared" si="9"/>
        <v>45</v>
      </c>
      <c r="L43" s="32"/>
      <c r="M43" s="32"/>
      <c r="N43" s="32">
        <f t="shared" si="10"/>
        <v>44.996499999999997</v>
      </c>
      <c r="O43" s="32">
        <f t="shared" si="11"/>
        <v>3</v>
      </c>
      <c r="P43" s="32">
        <f t="shared" ca="1" si="12"/>
        <v>0</v>
      </c>
      <c r="Q43" s="33" t="s">
        <v>1118</v>
      </c>
      <c r="R43" s="175">
        <f t="shared" si="13"/>
        <v>0</v>
      </c>
      <c r="S43" s="34">
        <f>-SUMPRODUCT((Q$8:Q42=Q43)*(T$8:T42=T43))</f>
        <v>0</v>
      </c>
      <c r="T43" s="35">
        <f t="shared" si="14"/>
        <v>45.018810000000002</v>
      </c>
      <c r="U43" s="184">
        <v>17</v>
      </c>
      <c r="V43" s="32">
        <v>17</v>
      </c>
      <c r="W43" s="186">
        <v>11</v>
      </c>
      <c r="X43" s="184"/>
      <c r="Y43" s="32"/>
      <c r="Z43" s="32"/>
      <c r="AB43" s="36">
        <v>0</v>
      </c>
      <c r="AC43" s="36">
        <v>0</v>
      </c>
      <c r="AD43" s="36">
        <v>0</v>
      </c>
      <c r="AE43" s="36">
        <v>0</v>
      </c>
      <c r="AF43" s="37">
        <v>3</v>
      </c>
      <c r="AG43" s="38">
        <v>45.007686999999997</v>
      </c>
      <c r="AH43" s="39">
        <v>17</v>
      </c>
      <c r="AI43" s="32">
        <v>51</v>
      </c>
      <c r="AJ43" s="25"/>
      <c r="AK43" s="25"/>
      <c r="AL43" s="25"/>
    </row>
    <row r="44" spans="1:38">
      <c r="A44" s="1">
        <v>12</v>
      </c>
      <c r="B44" s="40">
        <f t="shared" si="8"/>
        <v>12</v>
      </c>
      <c r="C44" s="1" t="s">
        <v>1132</v>
      </c>
      <c r="D44" s="166" t="s">
        <v>66</v>
      </c>
      <c r="E44" s="186">
        <v>8</v>
      </c>
      <c r="F44" s="184">
        <v>12</v>
      </c>
      <c r="G44" s="184">
        <v>14</v>
      </c>
      <c r="H44" s="32">
        <v>14</v>
      </c>
      <c r="I44" s="32">
        <v>12</v>
      </c>
      <c r="J44" s="32"/>
      <c r="K44" s="32">
        <f t="shared" si="9"/>
        <v>40</v>
      </c>
      <c r="L44" s="32"/>
      <c r="M44" s="32"/>
      <c r="N44" s="32">
        <f t="shared" si="10"/>
        <v>39.996400000000001</v>
      </c>
      <c r="O44" s="32">
        <f t="shared" si="11"/>
        <v>5</v>
      </c>
      <c r="P44" s="32">
        <f t="shared" ca="1" si="12"/>
        <v>0</v>
      </c>
      <c r="Q44" s="33" t="s">
        <v>1118</v>
      </c>
      <c r="R44" s="175">
        <f t="shared" si="13"/>
        <v>0</v>
      </c>
      <c r="S44" s="34">
        <f>-SUMPRODUCT((Q$8:Q43=Q44)*(T$8:T43=T44))</f>
        <v>0</v>
      </c>
      <c r="T44" s="35">
        <f t="shared" si="14"/>
        <v>40.015520000000002</v>
      </c>
      <c r="U44" s="184">
        <v>14</v>
      </c>
      <c r="V44" s="32">
        <v>14</v>
      </c>
      <c r="W44" s="184">
        <v>12</v>
      </c>
      <c r="X44" s="32">
        <v>12</v>
      </c>
      <c r="Y44" s="186">
        <v>8</v>
      </c>
      <c r="Z44" s="32"/>
      <c r="AB44" s="36">
        <v>0</v>
      </c>
      <c r="AC44" s="36">
        <v>0</v>
      </c>
      <c r="AD44" s="36">
        <v>0</v>
      </c>
      <c r="AE44" s="36">
        <v>0</v>
      </c>
      <c r="AF44" s="37">
        <v>4</v>
      </c>
      <c r="AG44" s="38">
        <v>40.005754000000003</v>
      </c>
      <c r="AH44" s="39">
        <v>14</v>
      </c>
      <c r="AI44" s="32">
        <v>42</v>
      </c>
      <c r="AJ44" s="25"/>
      <c r="AK44" s="25"/>
      <c r="AL44" s="25"/>
    </row>
    <row r="45" spans="1:38">
      <c r="A45" s="1">
        <v>13</v>
      </c>
      <c r="B45" s="40">
        <f t="shared" si="8"/>
        <v>13</v>
      </c>
      <c r="C45" s="1" t="s">
        <v>1197</v>
      </c>
      <c r="D45" s="166" t="s">
        <v>29</v>
      </c>
      <c r="E45" s="186">
        <v>19</v>
      </c>
      <c r="F45" s="184">
        <v>17</v>
      </c>
      <c r="G45" s="184"/>
      <c r="H45" s="32"/>
      <c r="I45" s="32"/>
      <c r="J45" s="32"/>
      <c r="K45" s="32">
        <f t="shared" si="9"/>
        <v>36</v>
      </c>
      <c r="L45" s="32"/>
      <c r="M45" s="32"/>
      <c r="N45" s="32">
        <f t="shared" si="10"/>
        <v>35.996299999999998</v>
      </c>
      <c r="O45" s="32">
        <f t="shared" si="11"/>
        <v>2</v>
      </c>
      <c r="P45" s="32">
        <f t="shared" ca="1" si="12"/>
        <v>0</v>
      </c>
      <c r="Q45" s="33" t="s">
        <v>1118</v>
      </c>
      <c r="R45" s="175">
        <f t="shared" si="13"/>
        <v>0</v>
      </c>
      <c r="S45" s="34">
        <f>-SUMPRODUCT((Q$8:Q44=Q45)*(T$8:T44=T45))</f>
        <v>0</v>
      </c>
      <c r="T45" s="35">
        <f t="shared" si="14"/>
        <v>36.020699999999998</v>
      </c>
      <c r="U45" s="186">
        <v>19</v>
      </c>
      <c r="V45" s="184">
        <v>17</v>
      </c>
      <c r="W45" s="184"/>
      <c r="X45" s="32"/>
      <c r="Y45" s="32"/>
      <c r="Z45" s="32"/>
      <c r="AB45" s="36">
        <v>0</v>
      </c>
      <c r="AC45" s="36">
        <v>0</v>
      </c>
      <c r="AD45" s="36">
        <v>0</v>
      </c>
      <c r="AE45" s="36">
        <v>0</v>
      </c>
      <c r="AF45" s="37">
        <v>2</v>
      </c>
      <c r="AG45" s="38">
        <v>36.016999999999996</v>
      </c>
      <c r="AH45" s="39">
        <v>19</v>
      </c>
      <c r="AI45" s="32">
        <v>55</v>
      </c>
      <c r="AJ45" s="25"/>
      <c r="AK45" s="25"/>
      <c r="AL45" s="25"/>
    </row>
    <row r="46" spans="1:38">
      <c r="A46" s="1">
        <v>14</v>
      </c>
      <c r="B46" s="40">
        <f t="shared" si="8"/>
        <v>14</v>
      </c>
      <c r="C46" s="1" t="s">
        <v>1129</v>
      </c>
      <c r="D46" s="166" t="s">
        <v>118</v>
      </c>
      <c r="E46" s="186"/>
      <c r="F46" s="184"/>
      <c r="G46" s="184">
        <v>16</v>
      </c>
      <c r="H46" s="32"/>
      <c r="I46" s="32">
        <v>15</v>
      </c>
      <c r="J46" s="32"/>
      <c r="K46" s="32">
        <f t="shared" si="9"/>
        <v>31</v>
      </c>
      <c r="L46" s="32"/>
      <c r="M46" s="32"/>
      <c r="N46" s="32">
        <f t="shared" si="10"/>
        <v>30.996200000000002</v>
      </c>
      <c r="O46" s="32">
        <f t="shared" si="11"/>
        <v>2</v>
      </c>
      <c r="P46" s="32">
        <f t="shared" ca="1" si="12"/>
        <v>0</v>
      </c>
      <c r="Q46" s="33" t="s">
        <v>1118</v>
      </c>
      <c r="R46" s="175">
        <f t="shared" si="13"/>
        <v>0</v>
      </c>
      <c r="S46" s="34">
        <f>-SUMPRODUCT((Q$8:Q45=Q46)*(T$8:T45=T46))</f>
        <v>0</v>
      </c>
      <c r="T46" s="35">
        <f t="shared" si="14"/>
        <v>31.017499999999998</v>
      </c>
      <c r="U46" s="184">
        <v>16</v>
      </c>
      <c r="V46" s="32">
        <v>15</v>
      </c>
      <c r="W46" s="186"/>
      <c r="X46" s="184"/>
      <c r="Y46" s="32"/>
      <c r="Z46" s="32"/>
      <c r="AB46" s="36">
        <v>0</v>
      </c>
      <c r="AC46" s="36">
        <v>0</v>
      </c>
      <c r="AD46" s="36">
        <v>0</v>
      </c>
      <c r="AE46" s="36">
        <v>0</v>
      </c>
      <c r="AF46" s="37">
        <v>1</v>
      </c>
      <c r="AG46" s="38">
        <v>15.995859999999999</v>
      </c>
      <c r="AH46" s="39">
        <v>16</v>
      </c>
      <c r="AI46" s="32">
        <v>32</v>
      </c>
      <c r="AJ46" s="25"/>
      <c r="AK46" s="25"/>
      <c r="AL46" s="25"/>
    </row>
    <row r="47" spans="1:38">
      <c r="A47" s="1">
        <v>15</v>
      </c>
      <c r="B47" s="40">
        <f t="shared" si="8"/>
        <v>15</v>
      </c>
      <c r="C47" s="1" t="s">
        <v>1128</v>
      </c>
      <c r="D47" s="166" t="s">
        <v>19</v>
      </c>
      <c r="E47" s="186"/>
      <c r="F47" s="184">
        <v>13</v>
      </c>
      <c r="G47" s="184"/>
      <c r="H47" s="32"/>
      <c r="I47" s="32">
        <v>16</v>
      </c>
      <c r="J47" s="32"/>
      <c r="K47" s="32">
        <f t="shared" si="9"/>
        <v>29</v>
      </c>
      <c r="L47" s="32"/>
      <c r="M47" s="32"/>
      <c r="N47" s="32">
        <f t="shared" si="10"/>
        <v>28.996099999999998</v>
      </c>
      <c r="O47" s="32">
        <f t="shared" si="11"/>
        <v>2</v>
      </c>
      <c r="P47" s="32">
        <f t="shared" ca="1" si="12"/>
        <v>0</v>
      </c>
      <c r="Q47" s="33" t="s">
        <v>1118</v>
      </c>
      <c r="R47" s="175">
        <f t="shared" si="13"/>
        <v>0</v>
      </c>
      <c r="S47" s="34">
        <f>-SUMPRODUCT((Q$8:Q46=Q47)*(T$8:T46=T47))</f>
        <v>0</v>
      </c>
      <c r="T47" s="35">
        <f t="shared" si="14"/>
        <v>29.017299999999999</v>
      </c>
      <c r="U47" s="32">
        <v>16</v>
      </c>
      <c r="V47" s="184">
        <v>13</v>
      </c>
      <c r="W47" s="186"/>
      <c r="X47" s="184"/>
      <c r="Y47" s="32"/>
      <c r="Z47" s="32"/>
      <c r="AB47" s="36">
        <v>0</v>
      </c>
      <c r="AC47" s="36">
        <v>0</v>
      </c>
      <c r="AD47" s="36">
        <v>0</v>
      </c>
      <c r="AE47" s="36">
        <v>0</v>
      </c>
      <c r="AF47" s="37">
        <v>1</v>
      </c>
      <c r="AG47" s="38">
        <v>12.996500000000001</v>
      </c>
      <c r="AH47" s="39">
        <v>13</v>
      </c>
      <c r="AI47" s="32">
        <v>26</v>
      </c>
      <c r="AJ47" s="25"/>
      <c r="AK47" s="25"/>
      <c r="AL47" s="25"/>
    </row>
    <row r="48" spans="1:38">
      <c r="A48" s="1">
        <v>16</v>
      </c>
      <c r="B48" s="40">
        <f t="shared" si="8"/>
        <v>16</v>
      </c>
      <c r="C48" s="1" t="s">
        <v>1198</v>
      </c>
      <c r="D48" s="166" t="s">
        <v>29</v>
      </c>
      <c r="E48" s="186">
        <v>12</v>
      </c>
      <c r="F48" s="184">
        <v>15</v>
      </c>
      <c r="G48" s="184"/>
      <c r="H48" s="32"/>
      <c r="I48" s="32"/>
      <c r="J48" s="32"/>
      <c r="K48" s="32">
        <f t="shared" si="9"/>
        <v>27</v>
      </c>
      <c r="L48" s="32"/>
      <c r="M48" s="32"/>
      <c r="N48" s="32">
        <f t="shared" si="10"/>
        <v>26.995999999999999</v>
      </c>
      <c r="O48" s="32">
        <f t="shared" si="11"/>
        <v>2</v>
      </c>
      <c r="P48" s="32">
        <f t="shared" ca="1" si="12"/>
        <v>0</v>
      </c>
      <c r="Q48" s="33" t="s">
        <v>1118</v>
      </c>
      <c r="R48" s="175">
        <f t="shared" si="13"/>
        <v>0</v>
      </c>
      <c r="S48" s="34">
        <f>-SUMPRODUCT((Q$8:Q47=Q48)*(T$8:T47=T48))</f>
        <v>0</v>
      </c>
      <c r="T48" s="35">
        <f t="shared" si="14"/>
        <v>27.016200000000001</v>
      </c>
      <c r="U48" s="184">
        <v>15</v>
      </c>
      <c r="V48" s="186">
        <v>12</v>
      </c>
      <c r="W48" s="184"/>
      <c r="X48" s="32"/>
      <c r="Y48" s="32"/>
      <c r="Z48" s="32"/>
      <c r="AB48" s="36">
        <v>0</v>
      </c>
      <c r="AC48" s="36">
        <v>0</v>
      </c>
      <c r="AD48" s="36">
        <v>0</v>
      </c>
      <c r="AE48" s="36">
        <v>0</v>
      </c>
      <c r="AF48" s="37">
        <v>2</v>
      </c>
      <c r="AG48" s="38">
        <v>27.009700000000002</v>
      </c>
      <c r="AH48" s="39">
        <v>15</v>
      </c>
      <c r="AI48" s="32">
        <v>42</v>
      </c>
      <c r="AJ48" s="25"/>
      <c r="AK48" s="25"/>
      <c r="AL48" s="25"/>
    </row>
    <row r="49" spans="1:38">
      <c r="A49" s="1">
        <v>17</v>
      </c>
      <c r="B49" s="40">
        <f t="shared" si="8"/>
        <v>17</v>
      </c>
      <c r="C49" s="1" t="s">
        <v>1121</v>
      </c>
      <c r="D49" s="166" t="s">
        <v>1113</v>
      </c>
      <c r="E49" s="186"/>
      <c r="F49" s="184"/>
      <c r="G49" s="184"/>
      <c r="H49" s="32"/>
      <c r="I49" s="32">
        <v>23</v>
      </c>
      <c r="J49" s="32"/>
      <c r="K49" s="32">
        <f t="shared" si="9"/>
        <v>23</v>
      </c>
      <c r="L49" s="32"/>
      <c r="M49" s="32"/>
      <c r="N49" s="32">
        <f t="shared" si="10"/>
        <v>22.995899999999999</v>
      </c>
      <c r="O49" s="32">
        <f t="shared" si="11"/>
        <v>1</v>
      </c>
      <c r="P49" s="32" t="str">
        <f t="shared" ca="1" si="12"/>
        <v>Y</v>
      </c>
      <c r="Q49" s="33" t="s">
        <v>1118</v>
      </c>
      <c r="R49" s="175">
        <f t="shared" si="13"/>
        <v>0</v>
      </c>
      <c r="S49" s="34">
        <f>-SUMPRODUCT((Q$8:Q48=Q49)*(T$8:T48=T49))</f>
        <v>0</v>
      </c>
      <c r="T49" s="35">
        <f t="shared" si="14"/>
        <v>23.023</v>
      </c>
      <c r="U49" s="32">
        <v>23</v>
      </c>
      <c r="V49" s="186"/>
      <c r="W49" s="184"/>
      <c r="X49" s="184"/>
      <c r="Y49" s="32"/>
      <c r="Z49" s="32"/>
      <c r="AB49" s="36"/>
      <c r="AC49" s="36"/>
      <c r="AD49" s="36"/>
      <c r="AE49" s="36"/>
      <c r="AF49" s="37"/>
      <c r="AG49" s="38"/>
      <c r="AH49" s="39"/>
      <c r="AI49" s="32"/>
      <c r="AJ49" s="25"/>
      <c r="AK49" s="25"/>
      <c r="AL49" s="25"/>
    </row>
    <row r="50" spans="1:38">
      <c r="A50" s="1">
        <v>18</v>
      </c>
      <c r="B50" s="40">
        <f t="shared" si="8"/>
        <v>18</v>
      </c>
      <c r="C50" s="1" t="s">
        <v>1199</v>
      </c>
      <c r="D50" s="166" t="s">
        <v>29</v>
      </c>
      <c r="E50" s="186">
        <v>21</v>
      </c>
      <c r="F50" s="184"/>
      <c r="G50" s="184"/>
      <c r="H50" s="32"/>
      <c r="I50" s="32"/>
      <c r="J50" s="32"/>
      <c r="K50" s="32">
        <f t="shared" si="9"/>
        <v>21</v>
      </c>
      <c r="L50" s="32"/>
      <c r="M50" s="32"/>
      <c r="N50" s="32">
        <f t="shared" si="10"/>
        <v>20.995799999999999</v>
      </c>
      <c r="O50" s="32">
        <f t="shared" si="11"/>
        <v>1</v>
      </c>
      <c r="P50" s="32">
        <f t="shared" ca="1" si="12"/>
        <v>0</v>
      </c>
      <c r="Q50" s="33" t="s">
        <v>1118</v>
      </c>
      <c r="R50" s="175">
        <f t="shared" si="13"/>
        <v>0</v>
      </c>
      <c r="S50" s="34">
        <f>-SUMPRODUCT((Q$8:Q49=Q50)*(T$8:T49=T50))</f>
        <v>0</v>
      </c>
      <c r="T50" s="35">
        <f t="shared" si="14"/>
        <v>21.021000000000001</v>
      </c>
      <c r="U50" s="186">
        <v>21</v>
      </c>
      <c r="V50" s="184"/>
      <c r="W50" s="184"/>
      <c r="X50" s="32"/>
      <c r="Y50" s="32"/>
      <c r="Z50" s="32"/>
      <c r="AB50" s="36">
        <v>0</v>
      </c>
      <c r="AC50" s="36">
        <v>0</v>
      </c>
      <c r="AD50" s="36">
        <v>0</v>
      </c>
      <c r="AE50" s="36">
        <v>0</v>
      </c>
      <c r="AF50" s="37">
        <v>1</v>
      </c>
      <c r="AG50" s="38">
        <v>21.017099999999999</v>
      </c>
      <c r="AH50" s="39">
        <v>21</v>
      </c>
      <c r="AI50" s="32">
        <v>42</v>
      </c>
      <c r="AJ50" s="25"/>
      <c r="AK50" s="25"/>
      <c r="AL50" s="25"/>
    </row>
    <row r="51" spans="1:38">
      <c r="A51" s="1">
        <v>19</v>
      </c>
      <c r="B51" s="40">
        <f t="shared" si="8"/>
        <v>19</v>
      </c>
      <c r="C51" s="1" t="s">
        <v>1200</v>
      </c>
      <c r="D51" s="166" t="s">
        <v>50</v>
      </c>
      <c r="E51" s="186"/>
      <c r="F51" s="184">
        <v>20</v>
      </c>
      <c r="G51" s="184"/>
      <c r="H51" s="32"/>
      <c r="I51" s="32"/>
      <c r="J51" s="32"/>
      <c r="K51" s="32">
        <f t="shared" si="9"/>
        <v>20</v>
      </c>
      <c r="L51" s="32"/>
      <c r="M51" s="32"/>
      <c r="N51" s="32">
        <f t="shared" si="10"/>
        <v>19.995699999999999</v>
      </c>
      <c r="O51" s="32">
        <f t="shared" si="11"/>
        <v>1</v>
      </c>
      <c r="P51" s="32">
        <f t="shared" ca="1" si="12"/>
        <v>0</v>
      </c>
      <c r="Q51" s="33" t="s">
        <v>1118</v>
      </c>
      <c r="R51" s="175">
        <f t="shared" si="13"/>
        <v>0</v>
      </c>
      <c r="S51" s="34">
        <f>-SUMPRODUCT((Q$8:Q50=Q51)*(T$8:T50=T51))</f>
        <v>0</v>
      </c>
      <c r="T51" s="35">
        <f t="shared" si="14"/>
        <v>20.02</v>
      </c>
      <c r="U51" s="184">
        <v>20</v>
      </c>
      <c r="V51" s="186"/>
      <c r="W51" s="184"/>
      <c r="X51" s="32"/>
      <c r="Y51" s="32"/>
      <c r="Z51" s="32"/>
      <c r="AB51" s="36">
        <v>0</v>
      </c>
      <c r="AC51" s="36">
        <v>0</v>
      </c>
      <c r="AD51" s="36">
        <v>0</v>
      </c>
      <c r="AE51" s="36">
        <v>0</v>
      </c>
      <c r="AF51" s="37">
        <v>1</v>
      </c>
      <c r="AG51" s="38">
        <v>19.997999999999998</v>
      </c>
      <c r="AH51" s="39">
        <v>20</v>
      </c>
      <c r="AI51" s="32">
        <v>40</v>
      </c>
      <c r="AJ51" s="25"/>
      <c r="AK51" s="25"/>
      <c r="AL51" s="25"/>
    </row>
    <row r="52" spans="1:38">
      <c r="A52" s="1">
        <v>20</v>
      </c>
      <c r="B52" s="40">
        <f t="shared" si="8"/>
        <v>20</v>
      </c>
      <c r="C52" s="1" t="s">
        <v>1126</v>
      </c>
      <c r="D52" s="166" t="s">
        <v>29</v>
      </c>
      <c r="E52" s="186"/>
      <c r="F52" s="184"/>
      <c r="G52" s="184"/>
      <c r="H52" s="32"/>
      <c r="I52" s="32">
        <v>18</v>
      </c>
      <c r="J52" s="32"/>
      <c r="K52" s="32">
        <f t="shared" si="9"/>
        <v>18</v>
      </c>
      <c r="L52" s="32"/>
      <c r="M52" s="32"/>
      <c r="N52" s="32">
        <f t="shared" si="10"/>
        <v>17.9956</v>
      </c>
      <c r="O52" s="32">
        <f t="shared" si="11"/>
        <v>1</v>
      </c>
      <c r="P52" s="32" t="str">
        <f t="shared" ca="1" si="12"/>
        <v>Y</v>
      </c>
      <c r="Q52" s="33" t="s">
        <v>1118</v>
      </c>
      <c r="R52" s="175">
        <f t="shared" si="13"/>
        <v>0</v>
      </c>
      <c r="S52" s="34">
        <f>-SUMPRODUCT((Q$8:Q51=Q52)*(T$8:T51=T52))</f>
        <v>0</v>
      </c>
      <c r="T52" s="35">
        <f t="shared" si="14"/>
        <v>18.018000000000001</v>
      </c>
      <c r="U52" s="32">
        <v>18</v>
      </c>
      <c r="V52" s="186"/>
      <c r="W52" s="184"/>
      <c r="X52" s="184"/>
      <c r="Y52" s="32"/>
      <c r="Z52" s="32"/>
      <c r="AB52" s="36"/>
      <c r="AC52" s="36"/>
      <c r="AD52" s="36"/>
      <c r="AE52" s="36"/>
      <c r="AF52" s="37"/>
      <c r="AG52" s="38"/>
      <c r="AH52" s="39"/>
      <c r="AI52" s="32"/>
      <c r="AJ52" s="25"/>
      <c r="AK52" s="25"/>
      <c r="AL52" s="25"/>
    </row>
    <row r="53" spans="1:38">
      <c r="A53" s="1">
        <v>21</v>
      </c>
      <c r="B53" s="40">
        <f t="shared" si="8"/>
        <v>21</v>
      </c>
      <c r="C53" s="1" t="s">
        <v>1201</v>
      </c>
      <c r="D53" s="166" t="s">
        <v>38</v>
      </c>
      <c r="E53" s="186">
        <v>17</v>
      </c>
      <c r="F53" s="184"/>
      <c r="G53" s="184"/>
      <c r="H53" s="32"/>
      <c r="I53" s="32"/>
      <c r="J53" s="32"/>
      <c r="K53" s="32">
        <f t="shared" si="9"/>
        <v>17</v>
      </c>
      <c r="L53" s="32"/>
      <c r="M53" s="32"/>
      <c r="N53" s="32">
        <f t="shared" si="10"/>
        <v>16.9955</v>
      </c>
      <c r="O53" s="32">
        <f t="shared" si="11"/>
        <v>1</v>
      </c>
      <c r="P53" s="32">
        <f t="shared" ca="1" si="12"/>
        <v>0</v>
      </c>
      <c r="Q53" s="33" t="s">
        <v>1118</v>
      </c>
      <c r="R53" s="175">
        <f t="shared" si="13"/>
        <v>0</v>
      </c>
      <c r="S53" s="34">
        <f>-SUMPRODUCT((Q$8:Q52=Q53)*(T$8:T52=T53))</f>
        <v>0</v>
      </c>
      <c r="T53" s="35">
        <f t="shared" si="14"/>
        <v>17.016999999999999</v>
      </c>
      <c r="U53" s="186">
        <v>17</v>
      </c>
      <c r="V53" s="184"/>
      <c r="W53" s="184"/>
      <c r="X53" s="32"/>
      <c r="Y53" s="32"/>
      <c r="Z53" s="32"/>
      <c r="AB53" s="36">
        <v>0</v>
      </c>
      <c r="AC53" s="36">
        <v>0</v>
      </c>
      <c r="AD53" s="36">
        <v>0</v>
      </c>
      <c r="AE53" s="36">
        <v>0</v>
      </c>
      <c r="AF53" s="37">
        <v>1</v>
      </c>
      <c r="AG53" s="38">
        <v>17.012899999999998</v>
      </c>
      <c r="AH53" s="39">
        <v>17</v>
      </c>
      <c r="AI53" s="32">
        <v>34</v>
      </c>
      <c r="AJ53" s="25"/>
      <c r="AK53" s="25"/>
      <c r="AL53" s="25"/>
    </row>
    <row r="54" spans="1:38">
      <c r="A54" s="1">
        <v>22</v>
      </c>
      <c r="B54" s="40">
        <f t="shared" si="8"/>
        <v>22</v>
      </c>
      <c r="C54" s="1" t="s">
        <v>1202</v>
      </c>
      <c r="D54" s="166" t="s">
        <v>38</v>
      </c>
      <c r="E54" s="186">
        <v>16</v>
      </c>
      <c r="F54" s="184"/>
      <c r="G54" s="184"/>
      <c r="H54" s="32"/>
      <c r="I54" s="32"/>
      <c r="J54" s="32"/>
      <c r="K54" s="32">
        <f t="shared" si="9"/>
        <v>16</v>
      </c>
      <c r="L54" s="32"/>
      <c r="M54" s="32"/>
      <c r="N54" s="32">
        <f t="shared" si="10"/>
        <v>15.9954</v>
      </c>
      <c r="O54" s="32">
        <f t="shared" si="11"/>
        <v>1</v>
      </c>
      <c r="P54" s="32">
        <f t="shared" ca="1" si="12"/>
        <v>0</v>
      </c>
      <c r="Q54" s="33" t="s">
        <v>1118</v>
      </c>
      <c r="R54" s="175">
        <f t="shared" si="13"/>
        <v>0</v>
      </c>
      <c r="S54" s="34">
        <f>-SUMPRODUCT((Q$8:Q53=Q54)*(T$8:T53=T54))</f>
        <v>0</v>
      </c>
      <c r="T54" s="35">
        <f t="shared" si="14"/>
        <v>16.015999999999998</v>
      </c>
      <c r="U54" s="186">
        <v>16</v>
      </c>
      <c r="V54" s="184"/>
      <c r="W54" s="184"/>
      <c r="X54" s="32"/>
      <c r="Y54" s="32"/>
      <c r="Z54" s="32"/>
      <c r="AB54" s="36">
        <v>0</v>
      </c>
      <c r="AC54" s="36">
        <v>0</v>
      </c>
      <c r="AD54" s="36">
        <v>0</v>
      </c>
      <c r="AE54" s="36">
        <v>0</v>
      </c>
      <c r="AF54" s="37">
        <v>1</v>
      </c>
      <c r="AG54" s="38">
        <v>16.011799999999997</v>
      </c>
      <c r="AH54" s="39">
        <v>16</v>
      </c>
      <c r="AI54" s="32">
        <v>32</v>
      </c>
      <c r="AJ54" s="25"/>
      <c r="AK54" s="25"/>
      <c r="AL54" s="25"/>
    </row>
    <row r="55" spans="1:38">
      <c r="A55" s="1">
        <v>23</v>
      </c>
      <c r="B55" s="40" t="str">
        <f t="shared" si="8"/>
        <v xml:space="preserve">=23 </v>
      </c>
      <c r="C55" s="1" t="s">
        <v>1203</v>
      </c>
      <c r="D55" s="166" t="s">
        <v>57</v>
      </c>
      <c r="E55" s="186">
        <v>15</v>
      </c>
      <c r="F55" s="184"/>
      <c r="G55" s="184"/>
      <c r="H55" s="32"/>
      <c r="I55" s="32"/>
      <c r="J55" s="32"/>
      <c r="K55" s="32">
        <f t="shared" si="9"/>
        <v>15</v>
      </c>
      <c r="L55" s="32"/>
      <c r="M55" s="32"/>
      <c r="N55" s="32">
        <f t="shared" si="10"/>
        <v>14.9953</v>
      </c>
      <c r="O55" s="32">
        <f t="shared" si="11"/>
        <v>1</v>
      </c>
      <c r="P55" s="32">
        <f t="shared" ca="1" si="12"/>
        <v>0</v>
      </c>
      <c r="Q55" s="33" t="s">
        <v>1118</v>
      </c>
      <c r="R55" s="175">
        <f t="shared" si="13"/>
        <v>0</v>
      </c>
      <c r="S55" s="34">
        <f>-SUMPRODUCT((Q$8:Q54=Q55)*(T$8:T54=T55))</f>
        <v>0</v>
      </c>
      <c r="T55" s="35">
        <f t="shared" si="14"/>
        <v>15.015000000000001</v>
      </c>
      <c r="U55" s="186">
        <v>15</v>
      </c>
      <c r="V55" s="184"/>
      <c r="W55" s="184"/>
      <c r="X55" s="32"/>
      <c r="Y55" s="32"/>
      <c r="Z55" s="32"/>
      <c r="AB55" s="36">
        <v>0</v>
      </c>
      <c r="AC55" s="36">
        <v>0</v>
      </c>
      <c r="AD55" s="36">
        <v>0</v>
      </c>
      <c r="AE55" s="36">
        <v>0</v>
      </c>
      <c r="AF55" s="37">
        <v>1</v>
      </c>
      <c r="AG55" s="38">
        <v>15.0106</v>
      </c>
      <c r="AH55" s="39">
        <v>15</v>
      </c>
      <c r="AI55" s="32">
        <v>30</v>
      </c>
      <c r="AJ55" s="25"/>
      <c r="AK55" s="25"/>
      <c r="AL55" s="25"/>
    </row>
    <row r="56" spans="1:38">
      <c r="A56" s="1">
        <v>24</v>
      </c>
      <c r="B56" s="40" t="str">
        <f t="shared" si="8"/>
        <v xml:space="preserve">=23 </v>
      </c>
      <c r="C56" s="1" t="s">
        <v>1204</v>
      </c>
      <c r="D56" s="166" t="s">
        <v>61</v>
      </c>
      <c r="E56" s="186"/>
      <c r="F56" s="184"/>
      <c r="G56" s="184"/>
      <c r="H56" s="32">
        <v>15</v>
      </c>
      <c r="I56" s="32"/>
      <c r="J56" s="32"/>
      <c r="K56" s="32">
        <f t="shared" si="9"/>
        <v>15</v>
      </c>
      <c r="L56" s="32"/>
      <c r="M56" s="32"/>
      <c r="N56" s="32">
        <f t="shared" si="10"/>
        <v>14.995200000000001</v>
      </c>
      <c r="O56" s="32">
        <f t="shared" si="11"/>
        <v>1</v>
      </c>
      <c r="P56" s="32">
        <f t="shared" ca="1" si="12"/>
        <v>0</v>
      </c>
      <c r="Q56" s="33" t="s">
        <v>1118</v>
      </c>
      <c r="R56" s="175">
        <f t="shared" si="13"/>
        <v>0</v>
      </c>
      <c r="S56" s="34">
        <f>-SUMPRODUCT((Q$8:Q55=Q56)*(T$8:T55=T56))</f>
        <v>-1</v>
      </c>
      <c r="T56" s="35">
        <f t="shared" si="14"/>
        <v>15.015000000000001</v>
      </c>
      <c r="U56" s="32">
        <v>15</v>
      </c>
      <c r="V56" s="186"/>
      <c r="W56" s="184"/>
      <c r="X56" s="184"/>
      <c r="Y56" s="32"/>
      <c r="Z56" s="32"/>
      <c r="AB56" s="36">
        <v>0</v>
      </c>
      <c r="AC56" s="36">
        <v>0</v>
      </c>
      <c r="AD56" s="36">
        <v>0</v>
      </c>
      <c r="AE56" s="36">
        <v>0</v>
      </c>
      <c r="AF56" s="37">
        <v>1</v>
      </c>
      <c r="AG56" s="38">
        <v>14.995649999999999</v>
      </c>
      <c r="AH56" s="39">
        <v>15</v>
      </c>
      <c r="AI56" s="32">
        <v>30</v>
      </c>
      <c r="AJ56" s="25"/>
      <c r="AK56" s="25"/>
      <c r="AL56" s="25"/>
    </row>
    <row r="57" spans="1:38">
      <c r="A57" s="1">
        <v>25</v>
      </c>
      <c r="B57" s="40">
        <f t="shared" si="8"/>
        <v>25</v>
      </c>
      <c r="C57" s="1" t="s">
        <v>1205</v>
      </c>
      <c r="D57" s="166" t="s">
        <v>19</v>
      </c>
      <c r="E57" s="186"/>
      <c r="F57" s="184">
        <v>14</v>
      </c>
      <c r="G57" s="184"/>
      <c r="H57" s="32"/>
      <c r="I57" s="32"/>
      <c r="J57" s="32"/>
      <c r="K57" s="32">
        <f t="shared" si="9"/>
        <v>14</v>
      </c>
      <c r="L57" s="32"/>
      <c r="M57" s="32"/>
      <c r="N57" s="32">
        <f t="shared" si="10"/>
        <v>13.995100000000001</v>
      </c>
      <c r="O57" s="32">
        <f t="shared" si="11"/>
        <v>1</v>
      </c>
      <c r="P57" s="32">
        <f t="shared" ca="1" si="12"/>
        <v>0</v>
      </c>
      <c r="Q57" s="33" t="s">
        <v>1118</v>
      </c>
      <c r="R57" s="175">
        <f t="shared" si="13"/>
        <v>0</v>
      </c>
      <c r="S57" s="34">
        <f>-SUMPRODUCT((Q$8:Q56=Q57)*(T$8:T56=T57))</f>
        <v>0</v>
      </c>
      <c r="T57" s="35">
        <f t="shared" si="14"/>
        <v>14.013999999999999</v>
      </c>
      <c r="U57" s="184">
        <v>14</v>
      </c>
      <c r="V57" s="186"/>
      <c r="W57" s="184"/>
      <c r="X57" s="32"/>
      <c r="Y57" s="32"/>
      <c r="Z57" s="32"/>
      <c r="AB57" s="36">
        <v>0</v>
      </c>
      <c r="AC57" s="36">
        <v>0</v>
      </c>
      <c r="AD57" s="36">
        <v>0</v>
      </c>
      <c r="AE57" s="36">
        <v>0</v>
      </c>
      <c r="AF57" s="37">
        <v>1</v>
      </c>
      <c r="AG57" s="38">
        <v>13.9968</v>
      </c>
      <c r="AH57" s="39">
        <v>14</v>
      </c>
      <c r="AI57" s="32">
        <v>28</v>
      </c>
      <c r="AJ57" s="25"/>
      <c r="AK57" s="25"/>
      <c r="AL57" s="25"/>
    </row>
    <row r="58" spans="1:38">
      <c r="A58" s="1">
        <v>26</v>
      </c>
      <c r="B58" s="40" t="str">
        <f t="shared" si="8"/>
        <v xml:space="preserve">=26 </v>
      </c>
      <c r="C58" s="1" t="s">
        <v>1206</v>
      </c>
      <c r="D58" s="166" t="s">
        <v>1113</v>
      </c>
      <c r="E58" s="186">
        <v>13</v>
      </c>
      <c r="F58" s="184"/>
      <c r="G58" s="184"/>
      <c r="H58" s="32"/>
      <c r="I58" s="32"/>
      <c r="J58" s="32"/>
      <c r="K58" s="32">
        <f t="shared" si="9"/>
        <v>13</v>
      </c>
      <c r="L58" s="32"/>
      <c r="M58" s="32"/>
      <c r="N58" s="32">
        <f t="shared" si="10"/>
        <v>12.994999999999999</v>
      </c>
      <c r="O58" s="32">
        <f t="shared" si="11"/>
        <v>1</v>
      </c>
      <c r="P58" s="32">
        <f t="shared" ca="1" si="12"/>
        <v>0</v>
      </c>
      <c r="Q58" s="33" t="s">
        <v>1118</v>
      </c>
      <c r="R58" s="175">
        <f t="shared" si="13"/>
        <v>0</v>
      </c>
      <c r="S58" s="34">
        <f>-SUMPRODUCT((Q$8:Q57=Q58)*(T$8:T57=T58))</f>
        <v>0</v>
      </c>
      <c r="T58" s="35">
        <f t="shared" si="14"/>
        <v>13.013</v>
      </c>
      <c r="U58" s="186">
        <v>13</v>
      </c>
      <c r="V58" s="184"/>
      <c r="W58" s="184"/>
      <c r="X58" s="32"/>
      <c r="Y58" s="32"/>
      <c r="Z58" s="32"/>
      <c r="AB58" s="36">
        <v>0</v>
      </c>
      <c r="AC58" s="36">
        <v>0</v>
      </c>
      <c r="AD58" s="36">
        <v>0</v>
      </c>
      <c r="AE58" s="36">
        <v>0</v>
      </c>
      <c r="AF58" s="187">
        <v>1</v>
      </c>
      <c r="AG58" s="188">
        <v>13.0083</v>
      </c>
      <c r="AH58" s="39">
        <v>13</v>
      </c>
      <c r="AI58" s="32">
        <v>26</v>
      </c>
      <c r="AJ58" s="25"/>
      <c r="AK58" s="25"/>
      <c r="AL58" s="25"/>
    </row>
    <row r="59" spans="1:38">
      <c r="A59" s="1">
        <v>27</v>
      </c>
      <c r="B59" s="40" t="str">
        <f t="shared" si="8"/>
        <v xml:space="preserve">=26 </v>
      </c>
      <c r="C59" s="1" t="s">
        <v>1131</v>
      </c>
      <c r="D59" s="166" t="s">
        <v>29</v>
      </c>
      <c r="E59" s="186"/>
      <c r="F59" s="184"/>
      <c r="G59" s="184"/>
      <c r="H59" s="32"/>
      <c r="I59" s="32">
        <v>13</v>
      </c>
      <c r="J59" s="32"/>
      <c r="K59" s="32">
        <f t="shared" si="9"/>
        <v>13</v>
      </c>
      <c r="L59" s="32"/>
      <c r="M59" s="32"/>
      <c r="N59" s="32">
        <f t="shared" si="10"/>
        <v>12.994899999999999</v>
      </c>
      <c r="O59" s="32">
        <f t="shared" si="11"/>
        <v>1</v>
      </c>
      <c r="P59" s="32" t="str">
        <f t="shared" ca="1" si="12"/>
        <v>Y</v>
      </c>
      <c r="Q59" s="33" t="s">
        <v>1118</v>
      </c>
      <c r="R59" s="175">
        <f t="shared" si="13"/>
        <v>0</v>
      </c>
      <c r="S59" s="34">
        <f>-SUMPRODUCT((Q$8:Q58=Q59)*(T$8:T58=T59))</f>
        <v>-1</v>
      </c>
      <c r="T59" s="35">
        <f t="shared" si="14"/>
        <v>13.013</v>
      </c>
      <c r="U59" s="32">
        <v>13</v>
      </c>
      <c r="V59" s="186"/>
      <c r="W59" s="184"/>
      <c r="X59" s="184"/>
      <c r="Y59" s="32"/>
      <c r="Z59" s="32"/>
      <c r="AB59" s="36"/>
      <c r="AC59" s="36"/>
      <c r="AD59" s="36"/>
      <c r="AE59" s="36"/>
      <c r="AF59" s="187"/>
      <c r="AG59" s="188"/>
      <c r="AH59" s="39"/>
      <c r="AI59" s="32"/>
      <c r="AJ59" s="25"/>
      <c r="AK59" s="25"/>
      <c r="AL59" s="25"/>
    </row>
    <row r="60" spans="1:38">
      <c r="A60" s="1">
        <v>28</v>
      </c>
      <c r="B60" s="40">
        <f t="shared" si="8"/>
        <v>28</v>
      </c>
      <c r="C60" s="1" t="s">
        <v>1207</v>
      </c>
      <c r="D60" s="166" t="s">
        <v>38</v>
      </c>
      <c r="E60" s="186">
        <v>9</v>
      </c>
      <c r="F60" s="184"/>
      <c r="G60" s="184"/>
      <c r="H60" s="32"/>
      <c r="I60" s="32"/>
      <c r="J60" s="32"/>
      <c r="K60" s="32">
        <f t="shared" si="9"/>
        <v>9</v>
      </c>
      <c r="L60" s="32"/>
      <c r="M60" s="32"/>
      <c r="N60" s="32">
        <f t="shared" si="10"/>
        <v>8.9947999999999997</v>
      </c>
      <c r="O60" s="32">
        <f t="shared" si="11"/>
        <v>1</v>
      </c>
      <c r="P60" s="32">
        <f t="shared" ca="1" si="12"/>
        <v>0</v>
      </c>
      <c r="Q60" s="33" t="s">
        <v>1118</v>
      </c>
      <c r="R60" s="175">
        <f t="shared" si="13"/>
        <v>0</v>
      </c>
      <c r="S60" s="34">
        <f>-SUMPRODUCT((Q$8:Q59=Q60)*(T$8:T59=T60))</f>
        <v>0</v>
      </c>
      <c r="T60" s="35">
        <f t="shared" si="14"/>
        <v>9.0090000000000003</v>
      </c>
      <c r="U60" s="186">
        <v>9</v>
      </c>
      <c r="V60" s="184"/>
      <c r="W60" s="184"/>
      <c r="X60" s="32"/>
      <c r="Y60" s="32"/>
      <c r="Z60" s="32"/>
      <c r="AB60" s="36">
        <v>0</v>
      </c>
      <c r="AC60" s="36">
        <v>0</v>
      </c>
      <c r="AD60" s="36">
        <v>0</v>
      </c>
      <c r="AE60" s="36">
        <v>0</v>
      </c>
      <c r="AF60" s="187">
        <v>1</v>
      </c>
      <c r="AG60" s="188">
        <v>9.0041000000000011</v>
      </c>
      <c r="AH60" s="39">
        <v>9</v>
      </c>
      <c r="AI60" s="32">
        <v>18</v>
      </c>
      <c r="AJ60" s="25"/>
      <c r="AK60" s="25"/>
      <c r="AL60" s="25"/>
    </row>
    <row r="61" spans="1:38" ht="3" customHeight="1">
      <c r="A61" s="166"/>
      <c r="B61" s="166"/>
      <c r="C61" s="166"/>
      <c r="D61" s="166"/>
      <c r="E61" s="186"/>
      <c r="F61" s="186"/>
      <c r="G61" s="184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5"/>
      <c r="T61" s="35"/>
      <c r="U61" s="32"/>
      <c r="V61" s="32"/>
      <c r="W61" s="32"/>
      <c r="X61" s="32"/>
      <c r="Y61" s="32"/>
      <c r="Z61" s="32"/>
      <c r="AF61" s="1"/>
      <c r="AG61" s="39"/>
      <c r="AH61" s="25"/>
      <c r="AI61" s="25"/>
      <c r="AJ61" s="25"/>
      <c r="AK61" s="25"/>
      <c r="AL61" s="25"/>
    </row>
    <row r="62" spans="1:38" ht="15">
      <c r="D62" s="179"/>
      <c r="E62" s="183"/>
      <c r="F62" s="184"/>
      <c r="G62" s="184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5"/>
      <c r="T62" s="35"/>
      <c r="U62" s="32"/>
      <c r="V62" s="32"/>
      <c r="W62" s="32"/>
      <c r="X62" s="32"/>
      <c r="Y62" s="32"/>
      <c r="Z62" s="32"/>
      <c r="AF62" s="1"/>
      <c r="AG62" s="39"/>
      <c r="AH62" s="25"/>
      <c r="AI62" s="25"/>
      <c r="AJ62" s="25"/>
      <c r="AK62" s="25"/>
      <c r="AL62" s="25"/>
    </row>
    <row r="63" spans="1:38" ht="15">
      <c r="A63" s="26" t="s">
        <v>1133</v>
      </c>
      <c r="B63" s="26" t="s">
        <v>1133</v>
      </c>
      <c r="D63" s="179"/>
      <c r="E63" s="183"/>
      <c r="F63" s="184"/>
      <c r="G63" s="184"/>
      <c r="H63" s="32"/>
      <c r="I63" s="32"/>
      <c r="J63" s="32"/>
      <c r="K63" s="32"/>
      <c r="L63" s="32"/>
      <c r="M63" s="32"/>
      <c r="N63" s="32"/>
      <c r="O63" s="32"/>
      <c r="P63" s="32"/>
      <c r="Q63" s="56" t="str">
        <f>A63</f>
        <v>U13B</v>
      </c>
      <c r="R63" s="32"/>
      <c r="S63" s="35"/>
      <c r="T63" s="35"/>
      <c r="U63" s="32"/>
      <c r="V63" s="32"/>
      <c r="W63" s="32"/>
      <c r="X63" s="32"/>
      <c r="Y63" s="32"/>
      <c r="Z63" s="32"/>
      <c r="AF63" s="1"/>
      <c r="AG63" s="39"/>
      <c r="AH63" s="25"/>
      <c r="AI63" s="25"/>
      <c r="AJ63" s="25">
        <v>60</v>
      </c>
      <c r="AK63" s="25">
        <v>57</v>
      </c>
      <c r="AL63" s="25">
        <v>56</v>
      </c>
    </row>
    <row r="64" spans="1:38">
      <c r="A64" s="1">
        <v>1</v>
      </c>
      <c r="B64" s="40">
        <f t="shared" ref="B64:B76" si="15">IF(OR(S64&lt;0,S65&lt;0),"="&amp;A64+S64&amp;" ",A64)</f>
        <v>1</v>
      </c>
      <c r="C64" s="1" t="s">
        <v>1134</v>
      </c>
      <c r="D64" s="166" t="s">
        <v>57</v>
      </c>
      <c r="E64" s="186">
        <v>20</v>
      </c>
      <c r="F64" s="184">
        <v>20</v>
      </c>
      <c r="G64" s="184">
        <v>20</v>
      </c>
      <c r="H64" s="32"/>
      <c r="I64" s="32">
        <v>20</v>
      </c>
      <c r="J64" s="32"/>
      <c r="K64" s="32">
        <f t="shared" ref="K64:K76" si="16">IFERROR(LARGE(E64:J64,1),0)+IF($D$7&gt;=2,IFERROR(LARGE(E64:J64,2),0),0)+IF($D$7&gt;=3,IFERROR(LARGE(E64:J64,3),0),0)+IF($D$7&gt;=4,IFERROR(LARGE(E64:J64,4),0),0)+IF($D$7&gt;=5,IFERROR(LARGE(E64:J64,5),0),0)+IF($D$7&gt;=6,IFERROR(LARGE(E64:J64,6),0),0)</f>
        <v>60</v>
      </c>
      <c r="L64" s="32"/>
      <c r="M64" s="32" t="s">
        <v>1208</v>
      </c>
      <c r="N64" s="32">
        <f t="shared" ref="N64:N76" si="17">K64-(ROW(K64)-ROW(K$8))/10000</f>
        <v>59.994399999999999</v>
      </c>
      <c r="O64" s="32">
        <f t="shared" ref="O64:O76" si="18">COUNT(E64:J64)</f>
        <v>4</v>
      </c>
      <c r="P64" s="32">
        <f t="shared" ref="P64:P76" ca="1" si="19">IF(AND(O64=1,OFFSET(D64,0,P$3)&gt;0),"Y",0)</f>
        <v>0</v>
      </c>
      <c r="Q64" s="33" t="s">
        <v>1133</v>
      </c>
      <c r="R64" s="175">
        <f t="shared" ref="R64:R76" si="20">1-(Q64=Q63)</f>
        <v>0</v>
      </c>
      <c r="S64" s="34">
        <f>-SUMPRODUCT((Q$8:Q63=Q64)*(T$8:T63=T64))</f>
        <v>0</v>
      </c>
      <c r="T64" s="35">
        <f t="shared" ref="T64:T76" si="21">K64+SUMPRODUCT(U$6:Z$6,U64:Z64)</f>
        <v>60.022199999999998</v>
      </c>
      <c r="U64" s="186">
        <v>20</v>
      </c>
      <c r="V64" s="184">
        <v>20</v>
      </c>
      <c r="W64" s="184">
        <v>20</v>
      </c>
      <c r="X64" s="32">
        <v>20</v>
      </c>
      <c r="Y64" s="32"/>
      <c r="Z64" s="32"/>
      <c r="AB64" s="36">
        <v>0</v>
      </c>
      <c r="AC64" s="36">
        <v>0</v>
      </c>
      <c r="AD64" s="36">
        <v>0</v>
      </c>
      <c r="AE64" s="36">
        <v>0</v>
      </c>
      <c r="AF64" s="37">
        <v>3</v>
      </c>
      <c r="AG64" s="38">
        <v>60.016900000000007</v>
      </c>
      <c r="AH64" s="39">
        <v>20</v>
      </c>
      <c r="AI64" s="32">
        <v>60</v>
      </c>
      <c r="AJ64" s="25" t="s">
        <v>1208</v>
      </c>
      <c r="AK64" s="25"/>
      <c r="AL64" s="25"/>
    </row>
    <row r="65" spans="1:38">
      <c r="A65" s="1">
        <v>2</v>
      </c>
      <c r="B65" s="40">
        <f t="shared" si="15"/>
        <v>2</v>
      </c>
      <c r="C65" s="1" t="s">
        <v>1135</v>
      </c>
      <c r="D65" s="166" t="s">
        <v>57</v>
      </c>
      <c r="E65" s="186">
        <v>19</v>
      </c>
      <c r="F65" s="184">
        <v>19</v>
      </c>
      <c r="G65" s="184">
        <v>19</v>
      </c>
      <c r="H65" s="32"/>
      <c r="I65" s="32">
        <v>19</v>
      </c>
      <c r="J65" s="32"/>
      <c r="K65" s="32">
        <f t="shared" si="16"/>
        <v>57</v>
      </c>
      <c r="L65" s="32"/>
      <c r="M65" s="32" t="s">
        <v>1209</v>
      </c>
      <c r="N65" s="32">
        <f t="shared" si="17"/>
        <v>56.994300000000003</v>
      </c>
      <c r="O65" s="32">
        <f t="shared" si="18"/>
        <v>4</v>
      </c>
      <c r="P65" s="32">
        <f t="shared" ca="1" si="19"/>
        <v>0</v>
      </c>
      <c r="Q65" s="33" t="s">
        <v>1133</v>
      </c>
      <c r="R65" s="175">
        <f t="shared" si="20"/>
        <v>0</v>
      </c>
      <c r="S65" s="34">
        <f>-SUMPRODUCT((Q$8:Q64=Q65)*(T$8:T64=T65))</f>
        <v>0</v>
      </c>
      <c r="T65" s="35">
        <f t="shared" si="21"/>
        <v>57.021090000000001</v>
      </c>
      <c r="U65" s="186">
        <v>19</v>
      </c>
      <c r="V65" s="184">
        <v>19</v>
      </c>
      <c r="W65" s="184">
        <v>19</v>
      </c>
      <c r="X65" s="32">
        <v>19</v>
      </c>
      <c r="Y65" s="32"/>
      <c r="Z65" s="32"/>
      <c r="AB65" s="36">
        <v>0</v>
      </c>
      <c r="AC65" s="36">
        <v>0</v>
      </c>
      <c r="AD65" s="36">
        <v>0</v>
      </c>
      <c r="AE65" s="36">
        <v>0</v>
      </c>
      <c r="AF65" s="37">
        <v>3</v>
      </c>
      <c r="AG65" s="38">
        <v>57.015689999999999</v>
      </c>
      <c r="AH65" s="39">
        <v>19</v>
      </c>
      <c r="AI65" s="32">
        <v>57</v>
      </c>
      <c r="AJ65" s="25"/>
      <c r="AK65" s="25" t="s">
        <v>1209</v>
      </c>
      <c r="AL65" s="25" t="s">
        <v>1210</v>
      </c>
    </row>
    <row r="66" spans="1:38">
      <c r="A66" s="1">
        <v>3</v>
      </c>
      <c r="B66" s="40">
        <f t="shared" si="15"/>
        <v>3</v>
      </c>
      <c r="C66" s="1" t="s">
        <v>1136</v>
      </c>
      <c r="D66" s="166" t="s">
        <v>19</v>
      </c>
      <c r="E66" s="186">
        <v>18</v>
      </c>
      <c r="F66" s="184">
        <v>18</v>
      </c>
      <c r="G66" s="184">
        <v>18</v>
      </c>
      <c r="H66" s="32">
        <v>20</v>
      </c>
      <c r="I66" s="32">
        <v>18</v>
      </c>
      <c r="J66" s="32"/>
      <c r="K66" s="32">
        <f t="shared" si="16"/>
        <v>56</v>
      </c>
      <c r="L66" s="32"/>
      <c r="M66" s="32" t="s">
        <v>1210</v>
      </c>
      <c r="N66" s="32">
        <f t="shared" si="17"/>
        <v>55.994199999999999</v>
      </c>
      <c r="O66" s="32">
        <f t="shared" si="18"/>
        <v>5</v>
      </c>
      <c r="P66" s="32">
        <f t="shared" ca="1" si="19"/>
        <v>0</v>
      </c>
      <c r="Q66" s="33" t="s">
        <v>1133</v>
      </c>
      <c r="R66" s="175">
        <f t="shared" si="20"/>
        <v>0</v>
      </c>
      <c r="S66" s="34">
        <f>-SUMPRODUCT((Q$8:Q65=Q66)*(T$8:T65=T66))</f>
        <v>0</v>
      </c>
      <c r="T66" s="35">
        <f t="shared" si="21"/>
        <v>56.021979999999999</v>
      </c>
      <c r="U66" s="32">
        <v>20</v>
      </c>
      <c r="V66" s="186">
        <v>18</v>
      </c>
      <c r="W66" s="184">
        <v>18</v>
      </c>
      <c r="X66" s="184">
        <v>18</v>
      </c>
      <c r="Y66" s="32">
        <v>18</v>
      </c>
      <c r="Z66" s="32"/>
      <c r="AB66" s="36">
        <v>0</v>
      </c>
      <c r="AC66" s="36">
        <v>0</v>
      </c>
      <c r="AD66" s="36">
        <v>0</v>
      </c>
      <c r="AE66" s="36">
        <v>0</v>
      </c>
      <c r="AF66" s="37">
        <v>4</v>
      </c>
      <c r="AG66" s="38">
        <v>56.014518000000002</v>
      </c>
      <c r="AH66" s="39">
        <v>20</v>
      </c>
      <c r="AI66" s="32">
        <v>58</v>
      </c>
      <c r="AJ66" s="25"/>
      <c r="AK66" s="25" t="s">
        <v>1209</v>
      </c>
      <c r="AL66" s="25" t="s">
        <v>1210</v>
      </c>
    </row>
    <row r="67" spans="1:38">
      <c r="A67" s="1">
        <v>4</v>
      </c>
      <c r="B67" s="40">
        <f t="shared" si="15"/>
        <v>4</v>
      </c>
      <c r="C67" s="1" t="s">
        <v>1138</v>
      </c>
      <c r="D67" s="166" t="s">
        <v>38</v>
      </c>
      <c r="E67" s="186">
        <v>15</v>
      </c>
      <c r="F67" s="184">
        <v>17</v>
      </c>
      <c r="G67" s="184">
        <v>16</v>
      </c>
      <c r="H67" s="32"/>
      <c r="I67" s="32">
        <v>16</v>
      </c>
      <c r="J67" s="32"/>
      <c r="K67" s="32">
        <f t="shared" si="16"/>
        <v>49</v>
      </c>
      <c r="L67" s="32"/>
      <c r="M67" s="32"/>
      <c r="N67" s="32">
        <f t="shared" si="17"/>
        <v>48.994100000000003</v>
      </c>
      <c r="O67" s="32">
        <f t="shared" si="18"/>
        <v>4</v>
      </c>
      <c r="P67" s="32">
        <f t="shared" ca="1" si="19"/>
        <v>0</v>
      </c>
      <c r="Q67" s="33" t="s">
        <v>1133</v>
      </c>
      <c r="R67" s="175">
        <f t="shared" si="20"/>
        <v>0</v>
      </c>
      <c r="S67" s="34">
        <f>-SUMPRODUCT((Q$8:Q66=Q67)*(T$8:T66=T67))</f>
        <v>0</v>
      </c>
      <c r="T67" s="35">
        <f t="shared" si="21"/>
        <v>49.01876</v>
      </c>
      <c r="U67" s="184">
        <v>17</v>
      </c>
      <c r="V67" s="184">
        <v>16</v>
      </c>
      <c r="W67" s="32">
        <v>16</v>
      </c>
      <c r="X67" s="186">
        <v>15</v>
      </c>
      <c r="Y67" s="32"/>
      <c r="Z67" s="32"/>
      <c r="AB67" s="36">
        <v>0</v>
      </c>
      <c r="AC67" s="36">
        <v>0</v>
      </c>
      <c r="AD67" s="36">
        <v>0</v>
      </c>
      <c r="AE67" s="36">
        <v>0</v>
      </c>
      <c r="AF67" s="37">
        <v>3</v>
      </c>
      <c r="AG67" s="38">
        <v>48.01126</v>
      </c>
      <c r="AH67" s="39">
        <v>17</v>
      </c>
      <c r="AI67" s="32">
        <v>50</v>
      </c>
      <c r="AJ67" s="25"/>
      <c r="AK67" s="25"/>
      <c r="AL67" s="25"/>
    </row>
    <row r="68" spans="1:38">
      <c r="A68" s="1">
        <v>5</v>
      </c>
      <c r="B68" s="40">
        <f t="shared" si="15"/>
        <v>5</v>
      </c>
      <c r="C68" s="1" t="s">
        <v>1137</v>
      </c>
      <c r="D68" s="166" t="s">
        <v>19</v>
      </c>
      <c r="E68" s="186"/>
      <c r="F68" s="184"/>
      <c r="G68" s="184"/>
      <c r="H68" s="32">
        <v>19</v>
      </c>
      <c r="I68" s="32">
        <v>17</v>
      </c>
      <c r="J68" s="32"/>
      <c r="K68" s="32">
        <f t="shared" si="16"/>
        <v>36</v>
      </c>
      <c r="L68" s="32"/>
      <c r="M68" s="32"/>
      <c r="N68" s="32">
        <f t="shared" si="17"/>
        <v>35.994</v>
      </c>
      <c r="O68" s="32">
        <f t="shared" si="18"/>
        <v>2</v>
      </c>
      <c r="P68" s="32">
        <f t="shared" ca="1" si="19"/>
        <v>0</v>
      </c>
      <c r="Q68" s="33" t="s">
        <v>1133</v>
      </c>
      <c r="R68" s="175">
        <f t="shared" si="20"/>
        <v>0</v>
      </c>
      <c r="S68" s="34">
        <f>-SUMPRODUCT((Q$8:Q67=Q68)*(T$8:T67=T68))</f>
        <v>0</v>
      </c>
      <c r="T68" s="35">
        <f t="shared" si="21"/>
        <v>36.020699999999998</v>
      </c>
      <c r="U68" s="32">
        <v>19</v>
      </c>
      <c r="V68" s="32">
        <v>17</v>
      </c>
      <c r="W68" s="186"/>
      <c r="X68" s="184"/>
      <c r="Y68" s="184"/>
      <c r="Z68" s="32"/>
      <c r="AB68" s="36">
        <v>0</v>
      </c>
      <c r="AC68" s="36">
        <v>0</v>
      </c>
      <c r="AD68" s="36">
        <v>0</v>
      </c>
      <c r="AE68" s="36">
        <v>0</v>
      </c>
      <c r="AF68" s="37">
        <v>1</v>
      </c>
      <c r="AG68" s="38">
        <v>18.99399</v>
      </c>
      <c r="AH68" s="39">
        <v>19</v>
      </c>
      <c r="AI68" s="32">
        <v>38</v>
      </c>
      <c r="AJ68" s="25"/>
      <c r="AK68" s="25"/>
      <c r="AL68" s="25"/>
    </row>
    <row r="69" spans="1:38">
      <c r="A69" s="1">
        <v>6</v>
      </c>
      <c r="B69" s="40">
        <f t="shared" si="15"/>
        <v>6</v>
      </c>
      <c r="C69" s="1" t="s">
        <v>1211</v>
      </c>
      <c r="D69" s="166" t="s">
        <v>38</v>
      </c>
      <c r="E69" s="186"/>
      <c r="F69" s="184"/>
      <c r="G69" s="184">
        <v>17</v>
      </c>
      <c r="H69" s="32">
        <v>18</v>
      </c>
      <c r="I69" s="32"/>
      <c r="J69" s="32"/>
      <c r="K69" s="32">
        <f t="shared" si="16"/>
        <v>35</v>
      </c>
      <c r="L69" s="32"/>
      <c r="M69" s="32"/>
      <c r="N69" s="32">
        <f t="shared" si="17"/>
        <v>34.993899999999996</v>
      </c>
      <c r="O69" s="32">
        <f t="shared" si="18"/>
        <v>2</v>
      </c>
      <c r="P69" s="32">
        <f t="shared" ca="1" si="19"/>
        <v>0</v>
      </c>
      <c r="Q69" s="33" t="s">
        <v>1133</v>
      </c>
      <c r="R69" s="175">
        <f t="shared" si="20"/>
        <v>0</v>
      </c>
      <c r="S69" s="34">
        <f>-SUMPRODUCT((Q$8:Q68=Q69)*(T$8:T68=T69))</f>
        <v>0</v>
      </c>
      <c r="T69" s="35">
        <f t="shared" si="21"/>
        <v>35.0197</v>
      </c>
      <c r="U69" s="32">
        <v>18</v>
      </c>
      <c r="V69" s="184">
        <v>17</v>
      </c>
      <c r="W69" s="186"/>
      <c r="X69" s="184"/>
      <c r="Y69" s="32"/>
      <c r="Z69" s="32"/>
      <c r="AB69" s="36">
        <v>0</v>
      </c>
      <c r="AC69" s="36">
        <v>0</v>
      </c>
      <c r="AD69" s="36">
        <v>0</v>
      </c>
      <c r="AE69" s="36">
        <v>0</v>
      </c>
      <c r="AF69" s="37">
        <v>2</v>
      </c>
      <c r="AG69" s="38">
        <v>34.994497000000003</v>
      </c>
      <c r="AH69" s="39">
        <v>18</v>
      </c>
      <c r="AI69" s="32">
        <v>53</v>
      </c>
      <c r="AJ69" s="25"/>
      <c r="AK69" s="25"/>
      <c r="AL69" s="25"/>
    </row>
    <row r="70" spans="1:38">
      <c r="A70" s="1">
        <v>7</v>
      </c>
      <c r="B70" s="40">
        <f t="shared" si="15"/>
        <v>7</v>
      </c>
      <c r="C70" s="1" t="s">
        <v>1212</v>
      </c>
      <c r="D70" s="166" t="s">
        <v>57</v>
      </c>
      <c r="E70" s="186">
        <v>16</v>
      </c>
      <c r="F70" s="184">
        <v>16</v>
      </c>
      <c r="G70" s="184"/>
      <c r="H70" s="32"/>
      <c r="I70" s="32"/>
      <c r="J70" s="32"/>
      <c r="K70" s="32">
        <f t="shared" si="16"/>
        <v>32</v>
      </c>
      <c r="L70" s="32"/>
      <c r="M70" s="32"/>
      <c r="N70" s="32">
        <f t="shared" si="17"/>
        <v>31.9938</v>
      </c>
      <c r="O70" s="32">
        <f t="shared" si="18"/>
        <v>2</v>
      </c>
      <c r="P70" s="32">
        <f t="shared" ca="1" si="19"/>
        <v>0</v>
      </c>
      <c r="Q70" s="33" t="s">
        <v>1133</v>
      </c>
      <c r="R70" s="175">
        <f t="shared" si="20"/>
        <v>0</v>
      </c>
      <c r="S70" s="34">
        <f>-SUMPRODUCT((Q$8:Q69=Q70)*(T$8:T69=T70))</f>
        <v>0</v>
      </c>
      <c r="T70" s="35">
        <f t="shared" si="21"/>
        <v>32.017600000000002</v>
      </c>
      <c r="U70" s="186">
        <v>16</v>
      </c>
      <c r="V70" s="184">
        <v>16</v>
      </c>
      <c r="W70" s="184"/>
      <c r="X70" s="32"/>
      <c r="Y70" s="32"/>
      <c r="Z70" s="32"/>
      <c r="AB70" s="36">
        <v>0</v>
      </c>
      <c r="AC70" s="36">
        <v>0</v>
      </c>
      <c r="AD70" s="36">
        <v>0</v>
      </c>
      <c r="AE70" s="36">
        <v>0</v>
      </c>
      <c r="AF70" s="37">
        <v>2</v>
      </c>
      <c r="AG70" s="38">
        <v>32.011800000000001</v>
      </c>
      <c r="AH70" s="39">
        <v>16</v>
      </c>
      <c r="AI70" s="32">
        <v>48</v>
      </c>
      <c r="AJ70" s="25"/>
      <c r="AK70" s="25"/>
      <c r="AL70" s="25"/>
    </row>
    <row r="71" spans="1:38">
      <c r="A71" s="1">
        <v>8</v>
      </c>
      <c r="B71" s="40">
        <f t="shared" si="15"/>
        <v>8</v>
      </c>
      <c r="C71" s="1" t="s">
        <v>1213</v>
      </c>
      <c r="D71" s="166" t="s">
        <v>38</v>
      </c>
      <c r="E71" s="186">
        <v>14</v>
      </c>
      <c r="F71" s="184">
        <v>15</v>
      </c>
      <c r="G71" s="184"/>
      <c r="H71" s="32"/>
      <c r="I71" s="32"/>
      <c r="J71" s="32"/>
      <c r="K71" s="32">
        <f t="shared" si="16"/>
        <v>29</v>
      </c>
      <c r="L71" s="32"/>
      <c r="M71" s="32"/>
      <c r="N71" s="32">
        <f t="shared" si="17"/>
        <v>28.9937</v>
      </c>
      <c r="O71" s="32">
        <f t="shared" si="18"/>
        <v>2</v>
      </c>
      <c r="P71" s="32">
        <f t="shared" ca="1" si="19"/>
        <v>0</v>
      </c>
      <c r="Q71" s="33" t="s">
        <v>1133</v>
      </c>
      <c r="R71" s="175">
        <f t="shared" si="20"/>
        <v>0</v>
      </c>
      <c r="S71" s="34">
        <f>-SUMPRODUCT((Q$8:Q70=Q71)*(T$8:T70=T71))</f>
        <v>0</v>
      </c>
      <c r="T71" s="35">
        <f t="shared" si="21"/>
        <v>29.016400000000001</v>
      </c>
      <c r="U71" s="184">
        <v>15</v>
      </c>
      <c r="V71" s="186">
        <v>14</v>
      </c>
      <c r="W71" s="184"/>
      <c r="X71" s="32"/>
      <c r="Y71" s="32"/>
      <c r="Z71" s="32"/>
      <c r="AB71" s="36">
        <v>0</v>
      </c>
      <c r="AC71" s="36">
        <v>0</v>
      </c>
      <c r="AD71" s="36">
        <v>0</v>
      </c>
      <c r="AE71" s="36">
        <v>0</v>
      </c>
      <c r="AF71" s="37">
        <v>2</v>
      </c>
      <c r="AG71" s="38">
        <v>29.009599999999999</v>
      </c>
      <c r="AH71" s="39">
        <v>15</v>
      </c>
      <c r="AI71" s="32">
        <v>44</v>
      </c>
      <c r="AJ71" s="25"/>
      <c r="AK71" s="25"/>
      <c r="AL71" s="25"/>
    </row>
    <row r="72" spans="1:38">
      <c r="A72" s="1">
        <v>9</v>
      </c>
      <c r="B72" s="40">
        <f t="shared" si="15"/>
        <v>9</v>
      </c>
      <c r="C72" s="1" t="s">
        <v>1214</v>
      </c>
      <c r="D72" s="166" t="s">
        <v>19</v>
      </c>
      <c r="E72" s="186"/>
      <c r="F72" s="184">
        <v>13</v>
      </c>
      <c r="G72" s="184">
        <v>15</v>
      </c>
      <c r="H72" s="32"/>
      <c r="I72" s="32"/>
      <c r="J72" s="32"/>
      <c r="K72" s="32">
        <f t="shared" si="16"/>
        <v>28</v>
      </c>
      <c r="L72" s="32"/>
      <c r="M72" s="32"/>
      <c r="N72" s="32">
        <f t="shared" si="17"/>
        <v>27.993600000000001</v>
      </c>
      <c r="O72" s="32">
        <f t="shared" si="18"/>
        <v>2</v>
      </c>
      <c r="P72" s="32">
        <f t="shared" ca="1" si="19"/>
        <v>0</v>
      </c>
      <c r="Q72" s="33" t="s">
        <v>1133</v>
      </c>
      <c r="R72" s="175">
        <f t="shared" si="20"/>
        <v>0</v>
      </c>
      <c r="S72" s="34">
        <f>-SUMPRODUCT((Q$8:Q71=Q72)*(T$8:T71=T72))</f>
        <v>0</v>
      </c>
      <c r="T72" s="35">
        <f t="shared" si="21"/>
        <v>28.016300000000001</v>
      </c>
      <c r="U72" s="184">
        <v>15</v>
      </c>
      <c r="V72" s="184">
        <v>13</v>
      </c>
      <c r="W72" s="186"/>
      <c r="X72" s="32"/>
      <c r="Y72" s="32"/>
      <c r="Z72" s="32"/>
      <c r="AB72" s="36">
        <v>0</v>
      </c>
      <c r="AC72" s="36">
        <v>0</v>
      </c>
      <c r="AD72" s="36">
        <v>0</v>
      </c>
      <c r="AE72" s="36">
        <v>0</v>
      </c>
      <c r="AF72" s="37">
        <v>2</v>
      </c>
      <c r="AG72" s="38">
        <v>27.995450000000002</v>
      </c>
      <c r="AH72" s="39">
        <v>15</v>
      </c>
      <c r="AI72" s="32">
        <v>43</v>
      </c>
      <c r="AJ72" s="25"/>
      <c r="AK72" s="25"/>
      <c r="AL72" s="25"/>
    </row>
    <row r="73" spans="1:38">
      <c r="A73" s="1">
        <v>10</v>
      </c>
      <c r="B73" s="40">
        <f t="shared" si="15"/>
        <v>10</v>
      </c>
      <c r="C73" s="1" t="s">
        <v>1215</v>
      </c>
      <c r="D73" s="166" t="s">
        <v>47</v>
      </c>
      <c r="E73" s="186">
        <v>13</v>
      </c>
      <c r="F73" s="184">
        <v>14</v>
      </c>
      <c r="G73" s="184"/>
      <c r="H73" s="32"/>
      <c r="I73" s="32"/>
      <c r="J73" s="32"/>
      <c r="K73" s="32">
        <f t="shared" si="16"/>
        <v>27</v>
      </c>
      <c r="L73" s="32"/>
      <c r="M73" s="32"/>
      <c r="N73" s="32">
        <f t="shared" si="17"/>
        <v>26.993500000000001</v>
      </c>
      <c r="O73" s="32">
        <f t="shared" si="18"/>
        <v>2</v>
      </c>
      <c r="P73" s="32">
        <f t="shared" ca="1" si="19"/>
        <v>0</v>
      </c>
      <c r="Q73" s="33" t="s">
        <v>1133</v>
      </c>
      <c r="R73" s="175">
        <f t="shared" si="20"/>
        <v>0</v>
      </c>
      <c r="S73" s="34">
        <f>-SUMPRODUCT((Q$8:Q72=Q73)*(T$8:T72=T73))</f>
        <v>0</v>
      </c>
      <c r="T73" s="35">
        <f t="shared" si="21"/>
        <v>27.0153</v>
      </c>
      <c r="U73" s="184">
        <v>14</v>
      </c>
      <c r="V73" s="186">
        <v>13</v>
      </c>
      <c r="W73" s="184"/>
      <c r="X73" s="32"/>
      <c r="Y73" s="32"/>
      <c r="Z73" s="32"/>
      <c r="AB73" s="36">
        <v>0</v>
      </c>
      <c r="AC73" s="36">
        <v>0</v>
      </c>
      <c r="AD73" s="36">
        <v>0</v>
      </c>
      <c r="AE73" s="36">
        <v>0</v>
      </c>
      <c r="AF73" s="37">
        <v>2</v>
      </c>
      <c r="AG73" s="38">
        <v>27.008300000000002</v>
      </c>
      <c r="AH73" s="39">
        <v>14</v>
      </c>
      <c r="AI73" s="32">
        <v>41</v>
      </c>
      <c r="AJ73" s="25"/>
      <c r="AK73" s="25"/>
      <c r="AL73" s="25"/>
    </row>
    <row r="74" spans="1:38">
      <c r="A74" s="1">
        <v>11</v>
      </c>
      <c r="B74" s="40">
        <f t="shared" si="15"/>
        <v>11</v>
      </c>
      <c r="C74" s="1" t="s">
        <v>1216</v>
      </c>
      <c r="D74" s="166" t="s">
        <v>57</v>
      </c>
      <c r="E74" s="186">
        <v>17</v>
      </c>
      <c r="F74" s="184"/>
      <c r="G74" s="184"/>
      <c r="H74" s="32"/>
      <c r="I74" s="32"/>
      <c r="J74" s="32"/>
      <c r="K74" s="32">
        <f t="shared" si="16"/>
        <v>17</v>
      </c>
      <c r="L74" s="32"/>
      <c r="M74" s="32"/>
      <c r="N74" s="32">
        <f t="shared" si="17"/>
        <v>16.993400000000001</v>
      </c>
      <c r="O74" s="32">
        <f t="shared" si="18"/>
        <v>1</v>
      </c>
      <c r="P74" s="32">
        <f t="shared" ca="1" si="19"/>
        <v>0</v>
      </c>
      <c r="Q74" s="33" t="s">
        <v>1133</v>
      </c>
      <c r="R74" s="175">
        <f t="shared" si="20"/>
        <v>0</v>
      </c>
      <c r="S74" s="34">
        <f>-SUMPRODUCT((Q$8:Q73=Q74)*(T$8:T73=T74))</f>
        <v>0</v>
      </c>
      <c r="T74" s="35">
        <f t="shared" si="21"/>
        <v>17.016999999999999</v>
      </c>
      <c r="U74" s="186">
        <v>17</v>
      </c>
      <c r="V74" s="184"/>
      <c r="W74" s="184"/>
      <c r="X74" s="32"/>
      <c r="Y74" s="32"/>
      <c r="Z74" s="32"/>
      <c r="AB74" s="36">
        <v>0</v>
      </c>
      <c r="AC74" s="36">
        <v>0</v>
      </c>
      <c r="AD74" s="36">
        <v>0</v>
      </c>
      <c r="AE74" s="36">
        <v>0</v>
      </c>
      <c r="AF74" s="37">
        <v>1</v>
      </c>
      <c r="AG74" s="38">
        <v>17.0107</v>
      </c>
      <c r="AH74" s="39">
        <v>17</v>
      </c>
      <c r="AI74" s="32">
        <v>34</v>
      </c>
      <c r="AJ74" s="25"/>
      <c r="AK74" s="25"/>
      <c r="AL74" s="25"/>
    </row>
    <row r="75" spans="1:38">
      <c r="A75" s="1">
        <v>12</v>
      </c>
      <c r="B75" s="40">
        <f t="shared" si="15"/>
        <v>12</v>
      </c>
      <c r="C75" s="1" t="s">
        <v>1139</v>
      </c>
      <c r="D75" s="166" t="s">
        <v>1113</v>
      </c>
      <c r="E75" s="186"/>
      <c r="F75" s="184"/>
      <c r="G75" s="184"/>
      <c r="H75" s="32"/>
      <c r="I75" s="32">
        <v>15</v>
      </c>
      <c r="J75" s="32"/>
      <c r="K75" s="32">
        <f t="shared" si="16"/>
        <v>15</v>
      </c>
      <c r="L75" s="32"/>
      <c r="M75" s="32"/>
      <c r="N75" s="32">
        <f t="shared" si="17"/>
        <v>14.9933</v>
      </c>
      <c r="O75" s="32">
        <f t="shared" si="18"/>
        <v>1</v>
      </c>
      <c r="P75" s="32" t="str">
        <f t="shared" ca="1" si="19"/>
        <v>Y</v>
      </c>
      <c r="Q75" s="33" t="s">
        <v>1133</v>
      </c>
      <c r="R75" s="175">
        <f t="shared" si="20"/>
        <v>0</v>
      </c>
      <c r="S75" s="34">
        <f>-SUMPRODUCT((Q$8:Q74=Q75)*(T$8:T74=T75))</f>
        <v>0</v>
      </c>
      <c r="T75" s="35">
        <f t="shared" si="21"/>
        <v>15.015000000000001</v>
      </c>
      <c r="U75" s="32">
        <v>15</v>
      </c>
      <c r="V75" s="186"/>
      <c r="W75" s="184"/>
      <c r="X75" s="184"/>
      <c r="Y75" s="32"/>
      <c r="Z75" s="32"/>
      <c r="AB75" s="36"/>
      <c r="AC75" s="36"/>
      <c r="AD75" s="36"/>
      <c r="AE75" s="36"/>
      <c r="AF75" s="187"/>
      <c r="AG75" s="188"/>
      <c r="AH75" s="39"/>
      <c r="AI75" s="32"/>
      <c r="AJ75" s="25"/>
      <c r="AK75" s="25"/>
      <c r="AL75" s="25"/>
    </row>
    <row r="76" spans="1:38">
      <c r="A76" s="1">
        <v>13</v>
      </c>
      <c r="B76" s="40">
        <f t="shared" si="15"/>
        <v>13</v>
      </c>
      <c r="C76" s="1" t="s">
        <v>1140</v>
      </c>
      <c r="D76" s="166" t="s">
        <v>69</v>
      </c>
      <c r="E76" s="186"/>
      <c r="F76" s="184"/>
      <c r="G76" s="184"/>
      <c r="H76" s="32"/>
      <c r="I76" s="32">
        <v>14</v>
      </c>
      <c r="J76" s="32"/>
      <c r="K76" s="32">
        <f t="shared" si="16"/>
        <v>14</v>
      </c>
      <c r="L76" s="32"/>
      <c r="M76" s="32"/>
      <c r="N76" s="32">
        <f t="shared" si="17"/>
        <v>13.9932</v>
      </c>
      <c r="O76" s="32">
        <f t="shared" si="18"/>
        <v>1</v>
      </c>
      <c r="P76" s="32" t="str">
        <f t="shared" ca="1" si="19"/>
        <v>Y</v>
      </c>
      <c r="Q76" s="33" t="s">
        <v>1133</v>
      </c>
      <c r="R76" s="175">
        <f t="shared" si="20"/>
        <v>0</v>
      </c>
      <c r="S76" s="34">
        <f>-SUMPRODUCT((Q$8:Q75=Q76)*(T$8:T75=T76))</f>
        <v>0</v>
      </c>
      <c r="T76" s="35">
        <f t="shared" si="21"/>
        <v>14.013999999999999</v>
      </c>
      <c r="U76" s="32">
        <v>14</v>
      </c>
      <c r="V76" s="186"/>
      <c r="W76" s="184"/>
      <c r="X76" s="184"/>
      <c r="Y76" s="32"/>
      <c r="Z76" s="32"/>
      <c r="AB76" s="36"/>
      <c r="AC76" s="36"/>
      <c r="AD76" s="36"/>
      <c r="AE76" s="36"/>
      <c r="AF76" s="187"/>
      <c r="AG76" s="188"/>
      <c r="AH76" s="39"/>
      <c r="AI76" s="32"/>
      <c r="AJ76" s="25"/>
      <c r="AK76" s="25"/>
      <c r="AL76" s="25"/>
    </row>
    <row r="77" spans="1:38" ht="3" customHeight="1">
      <c r="A77" s="166"/>
      <c r="B77" s="166"/>
      <c r="C77" s="166"/>
      <c r="D77" s="166"/>
      <c r="E77" s="186"/>
      <c r="F77" s="186"/>
      <c r="G77" s="184"/>
      <c r="H77" s="32"/>
      <c r="I77" s="185"/>
      <c r="J77" s="32"/>
      <c r="K77" s="32"/>
      <c r="L77" s="32"/>
      <c r="M77" s="32"/>
      <c r="N77" s="32"/>
      <c r="O77" s="32"/>
      <c r="P77" s="32"/>
      <c r="Q77" s="32"/>
      <c r="R77" s="32"/>
      <c r="S77" s="35"/>
      <c r="T77" s="35"/>
      <c r="U77" s="32"/>
      <c r="V77" s="32"/>
      <c r="W77" s="32"/>
      <c r="X77" s="32"/>
      <c r="Y77" s="32"/>
      <c r="Z77" s="32"/>
      <c r="AF77" s="1"/>
      <c r="AG77" s="39"/>
      <c r="AH77" s="25"/>
      <c r="AI77" s="25"/>
      <c r="AJ77" s="25"/>
      <c r="AK77" s="25"/>
      <c r="AL77" s="25"/>
    </row>
    <row r="78" spans="1:38" ht="15">
      <c r="D78" s="179"/>
      <c r="E78" s="183"/>
      <c r="F78" s="184"/>
      <c r="G78" s="184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5"/>
      <c r="T78" s="35"/>
      <c r="U78" s="32"/>
      <c r="V78" s="32"/>
      <c r="W78" s="32"/>
      <c r="X78" s="32"/>
      <c r="Y78" s="32"/>
      <c r="Z78" s="32"/>
      <c r="AF78" s="1"/>
      <c r="AG78" s="39"/>
      <c r="AH78" s="25"/>
      <c r="AI78" s="25"/>
      <c r="AJ78" s="25"/>
      <c r="AK78" s="25"/>
      <c r="AL78" s="25"/>
    </row>
    <row r="79" spans="1:38" ht="15">
      <c r="A79" s="26" t="s">
        <v>1141</v>
      </c>
      <c r="B79" s="26" t="s">
        <v>1141</v>
      </c>
      <c r="D79" s="179"/>
      <c r="E79" s="183"/>
      <c r="F79" s="184"/>
      <c r="G79" s="184"/>
      <c r="H79" s="32"/>
      <c r="I79" s="32"/>
      <c r="J79" s="32"/>
      <c r="K79" s="32"/>
      <c r="L79" s="32"/>
      <c r="M79" s="32"/>
      <c r="N79" s="32"/>
      <c r="O79" s="32"/>
      <c r="P79" s="32"/>
      <c r="Q79" s="56" t="str">
        <f>A79</f>
        <v>U13G</v>
      </c>
      <c r="R79" s="32"/>
      <c r="S79" s="35"/>
      <c r="T79" s="35"/>
      <c r="U79" s="32"/>
      <c r="V79" s="32"/>
      <c r="W79" s="32"/>
      <c r="X79" s="32"/>
      <c r="Y79" s="32"/>
      <c r="Z79" s="32"/>
      <c r="AF79" s="1"/>
      <c r="AG79" s="39"/>
      <c r="AH79" s="25"/>
      <c r="AI79" s="25"/>
      <c r="AJ79" s="25">
        <v>59</v>
      </c>
      <c r="AK79" s="25">
        <v>58</v>
      </c>
      <c r="AL79" s="25">
        <v>51</v>
      </c>
    </row>
    <row r="80" spans="1:38">
      <c r="A80" s="1">
        <v>1</v>
      </c>
      <c r="B80" s="40" t="str">
        <f t="shared" ref="B80:B97" si="22">IF(OR(S80&lt;0,S81&lt;0),"="&amp;A80+S80&amp;" ",A80)</f>
        <v xml:space="preserve">=1 </v>
      </c>
      <c r="C80" s="1" t="s">
        <v>1144</v>
      </c>
      <c r="D80" s="166" t="s">
        <v>57</v>
      </c>
      <c r="E80" s="186">
        <v>20</v>
      </c>
      <c r="F80" s="184">
        <v>20</v>
      </c>
      <c r="G80" s="184">
        <v>19</v>
      </c>
      <c r="H80" s="32">
        <v>18</v>
      </c>
      <c r="I80" s="32">
        <v>18</v>
      </c>
      <c r="J80" s="32"/>
      <c r="K80" s="32">
        <f t="shared" ref="K80:K97" si="23">IFERROR(LARGE(E80:J80,1),0)+IF($D$7&gt;=2,IFERROR(LARGE(E80:J80,2),0),0)+IF($D$7&gt;=3,IFERROR(LARGE(E80:J80,3),0),0)+IF($D$7&gt;=4,IFERROR(LARGE(E80:J80,4),0),0)+IF($D$7&gt;=5,IFERROR(LARGE(E80:J80,5),0),0)+IF($D$7&gt;=6,IFERROR(LARGE(E80:J80,6),0),0)</f>
        <v>59</v>
      </c>
      <c r="L80" s="32"/>
      <c r="M80" s="32" t="s">
        <v>1217</v>
      </c>
      <c r="N80" s="32">
        <f t="shared" ref="N80:N97" si="24">K80-(ROW(K80)-ROW(K$8))/10000</f>
        <v>58.992800000000003</v>
      </c>
      <c r="O80" s="32">
        <f t="shared" ref="O80:O97" si="25">COUNT(E80:J80)</f>
        <v>5</v>
      </c>
      <c r="P80" s="32">
        <f t="shared" ref="P80:P97" ca="1" si="26">IF(AND(O80=1,OFFSET(D80,0,P$3)&gt;0),"Y",0)</f>
        <v>0</v>
      </c>
      <c r="Q80" s="33" t="s">
        <v>1141</v>
      </c>
      <c r="R80" s="175">
        <f t="shared" ref="R80:R97" si="27">1-(Q80=Q79)</f>
        <v>0</v>
      </c>
      <c r="S80" s="34">
        <f>-SUMPRODUCT((Q$8:Q79=Q80)*(T$8:T79=T80))</f>
        <v>0</v>
      </c>
      <c r="T80" s="35">
        <f t="shared" ref="T80:T97" si="28">K80+SUMPRODUCT(U$6:Z$6,U80:Z80)</f>
        <v>59.022190000000002</v>
      </c>
      <c r="U80" s="186">
        <v>20</v>
      </c>
      <c r="V80" s="184">
        <v>20</v>
      </c>
      <c r="W80" s="184">
        <v>19</v>
      </c>
      <c r="X80" s="32">
        <v>18</v>
      </c>
      <c r="Y80" s="32">
        <v>18</v>
      </c>
      <c r="Z80" s="32"/>
      <c r="AB80" s="36">
        <v>0</v>
      </c>
      <c r="AC80" s="36">
        <v>0</v>
      </c>
      <c r="AD80" s="36">
        <v>0</v>
      </c>
      <c r="AE80" s="36">
        <v>0</v>
      </c>
      <c r="AF80" s="37">
        <v>4</v>
      </c>
      <c r="AG80" s="38">
        <v>59.015508000000004</v>
      </c>
      <c r="AH80" s="39">
        <v>20</v>
      </c>
      <c r="AI80" s="32">
        <v>60</v>
      </c>
      <c r="AJ80" s="25" t="s">
        <v>1217</v>
      </c>
      <c r="AK80" s="25" t="s">
        <v>1218</v>
      </c>
      <c r="AL80" s="25" t="s">
        <v>1219</v>
      </c>
    </row>
    <row r="81" spans="1:38">
      <c r="A81" s="1">
        <v>2</v>
      </c>
      <c r="B81" s="40" t="str">
        <f t="shared" si="22"/>
        <v xml:space="preserve">=1 </v>
      </c>
      <c r="C81" s="1" t="s">
        <v>1142</v>
      </c>
      <c r="D81" s="166" t="s">
        <v>19</v>
      </c>
      <c r="E81" s="186">
        <v>19</v>
      </c>
      <c r="F81" s="184">
        <v>18</v>
      </c>
      <c r="G81" s="184">
        <v>20</v>
      </c>
      <c r="H81" s="32">
        <v>19</v>
      </c>
      <c r="I81" s="32">
        <v>20</v>
      </c>
      <c r="J81" s="32"/>
      <c r="K81" s="32">
        <f t="shared" si="23"/>
        <v>59</v>
      </c>
      <c r="L81" s="32"/>
      <c r="M81" s="32" t="s">
        <v>1218</v>
      </c>
      <c r="N81" s="32">
        <f t="shared" si="24"/>
        <v>58.992699999999999</v>
      </c>
      <c r="O81" s="32">
        <f t="shared" si="25"/>
        <v>5</v>
      </c>
      <c r="P81" s="32">
        <f t="shared" ca="1" si="26"/>
        <v>0</v>
      </c>
      <c r="Q81" s="33" t="s">
        <v>1141</v>
      </c>
      <c r="R81" s="175">
        <f t="shared" si="27"/>
        <v>0</v>
      </c>
      <c r="S81" s="34">
        <f>-SUMPRODUCT((Q$8:Q80=Q81)*(T$8:T80=T81))</f>
        <v>-1</v>
      </c>
      <c r="T81" s="35">
        <f t="shared" si="28"/>
        <v>59.022190000000002</v>
      </c>
      <c r="U81" s="184">
        <v>20</v>
      </c>
      <c r="V81" s="32">
        <v>20</v>
      </c>
      <c r="W81" s="186">
        <v>19</v>
      </c>
      <c r="X81" s="32">
        <v>19</v>
      </c>
      <c r="Y81" s="184">
        <v>18</v>
      </c>
      <c r="Z81" s="32"/>
      <c r="AB81" s="36">
        <v>0</v>
      </c>
      <c r="AC81" s="36">
        <v>0</v>
      </c>
      <c r="AD81" s="36">
        <v>0</v>
      </c>
      <c r="AE81" s="36">
        <v>0</v>
      </c>
      <c r="AF81" s="37">
        <v>4</v>
      </c>
      <c r="AG81" s="38">
        <v>58.014219000000004</v>
      </c>
      <c r="AH81" s="39">
        <v>20</v>
      </c>
      <c r="AI81" s="32">
        <v>59</v>
      </c>
      <c r="AJ81" s="25" t="s">
        <v>1217</v>
      </c>
      <c r="AK81" s="25" t="s">
        <v>1218</v>
      </c>
      <c r="AL81" s="25" t="s">
        <v>1219</v>
      </c>
    </row>
    <row r="82" spans="1:38">
      <c r="A82" s="1">
        <v>3</v>
      </c>
      <c r="B82" s="40">
        <f t="shared" si="22"/>
        <v>3</v>
      </c>
      <c r="C82" s="1" t="s">
        <v>1143</v>
      </c>
      <c r="D82" s="166" t="s">
        <v>50</v>
      </c>
      <c r="E82" s="186"/>
      <c r="F82" s="184">
        <v>19</v>
      </c>
      <c r="G82" s="184"/>
      <c r="H82" s="32">
        <v>20</v>
      </c>
      <c r="I82" s="32">
        <v>19</v>
      </c>
      <c r="J82" s="32"/>
      <c r="K82" s="32">
        <f t="shared" si="23"/>
        <v>58</v>
      </c>
      <c r="L82" s="32"/>
      <c r="M82" s="32" t="s">
        <v>1219</v>
      </c>
      <c r="N82" s="32">
        <f t="shared" si="24"/>
        <v>57.992600000000003</v>
      </c>
      <c r="O82" s="32">
        <f t="shared" si="25"/>
        <v>3</v>
      </c>
      <c r="P82" s="32">
        <f t="shared" ca="1" si="26"/>
        <v>0</v>
      </c>
      <c r="Q82" s="33" t="s">
        <v>1141</v>
      </c>
      <c r="R82" s="175">
        <f t="shared" si="27"/>
        <v>0</v>
      </c>
      <c r="S82" s="34">
        <f>-SUMPRODUCT((Q$8:Q81=Q82)*(T$8:T81=T82))</f>
        <v>0</v>
      </c>
      <c r="T82" s="35">
        <f t="shared" si="28"/>
        <v>58.022089999999999</v>
      </c>
      <c r="U82" s="32">
        <v>20</v>
      </c>
      <c r="V82" s="184">
        <v>19</v>
      </c>
      <c r="W82" s="32">
        <v>19</v>
      </c>
      <c r="X82" s="186"/>
      <c r="Y82" s="184"/>
      <c r="Z82" s="32"/>
      <c r="AB82" s="36">
        <v>0</v>
      </c>
      <c r="AC82" s="36">
        <v>0</v>
      </c>
      <c r="AD82" s="36">
        <v>0</v>
      </c>
      <c r="AE82" s="36">
        <v>0</v>
      </c>
      <c r="AF82" s="37">
        <v>2</v>
      </c>
      <c r="AG82" s="38">
        <v>38.994799999999998</v>
      </c>
      <c r="AH82" s="39">
        <v>20</v>
      </c>
      <c r="AI82" s="32">
        <v>59</v>
      </c>
      <c r="AJ82" s="25" t="s">
        <v>1217</v>
      </c>
      <c r="AK82" s="25" t="s">
        <v>1218</v>
      </c>
      <c r="AL82" s="25" t="s">
        <v>1219</v>
      </c>
    </row>
    <row r="83" spans="1:38">
      <c r="A83" s="1">
        <v>4</v>
      </c>
      <c r="B83" s="40">
        <f t="shared" si="22"/>
        <v>4</v>
      </c>
      <c r="C83" s="1" t="s">
        <v>1145</v>
      </c>
      <c r="D83" s="166" t="s">
        <v>84</v>
      </c>
      <c r="E83" s="186"/>
      <c r="F83" s="184">
        <v>17</v>
      </c>
      <c r="G83" s="184">
        <v>18</v>
      </c>
      <c r="H83" s="32">
        <v>16</v>
      </c>
      <c r="I83" s="32">
        <v>17</v>
      </c>
      <c r="J83" s="32"/>
      <c r="K83" s="32">
        <f t="shared" si="23"/>
        <v>52</v>
      </c>
      <c r="L83" s="32"/>
      <c r="M83" s="32"/>
      <c r="N83" s="32">
        <f t="shared" si="24"/>
        <v>51.9925</v>
      </c>
      <c r="O83" s="32">
        <f t="shared" si="25"/>
        <v>4</v>
      </c>
      <c r="P83" s="32">
        <f t="shared" ca="1" si="26"/>
        <v>0</v>
      </c>
      <c r="Q83" s="33" t="s">
        <v>1141</v>
      </c>
      <c r="R83" s="175">
        <f t="shared" si="27"/>
        <v>0</v>
      </c>
      <c r="S83" s="34">
        <f>-SUMPRODUCT((Q$8:Q82=Q83)*(T$8:T82=T83))</f>
        <v>0</v>
      </c>
      <c r="T83" s="35">
        <f t="shared" si="28"/>
        <v>52.019869999999997</v>
      </c>
      <c r="U83" s="184">
        <v>18</v>
      </c>
      <c r="V83" s="184">
        <v>17</v>
      </c>
      <c r="W83" s="32">
        <v>17</v>
      </c>
      <c r="X83" s="32">
        <v>16</v>
      </c>
      <c r="Y83" s="186"/>
      <c r="Z83" s="32"/>
      <c r="AB83" s="36">
        <v>0</v>
      </c>
      <c r="AC83" s="36">
        <v>0</v>
      </c>
      <c r="AD83" s="36">
        <v>0</v>
      </c>
      <c r="AE83" s="36">
        <v>0</v>
      </c>
      <c r="AF83" s="37">
        <v>3</v>
      </c>
      <c r="AG83" s="38">
        <v>50.994896000000004</v>
      </c>
      <c r="AH83" s="39">
        <v>18</v>
      </c>
      <c r="AI83" s="32">
        <v>53</v>
      </c>
      <c r="AJ83" s="25"/>
      <c r="AK83" s="25"/>
      <c r="AL83" s="25" t="s">
        <v>1219</v>
      </c>
    </row>
    <row r="84" spans="1:38">
      <c r="A84" s="1">
        <v>5</v>
      </c>
      <c r="B84" s="40">
        <f t="shared" si="22"/>
        <v>5</v>
      </c>
      <c r="C84" s="1" t="s">
        <v>1146</v>
      </c>
      <c r="D84" s="166" t="s">
        <v>29</v>
      </c>
      <c r="E84" s="186">
        <v>18</v>
      </c>
      <c r="F84" s="184">
        <v>16</v>
      </c>
      <c r="G84" s="184">
        <v>15</v>
      </c>
      <c r="H84" s="32">
        <v>17</v>
      </c>
      <c r="I84" s="32">
        <v>16</v>
      </c>
      <c r="J84" s="32"/>
      <c r="K84" s="32">
        <f t="shared" si="23"/>
        <v>51</v>
      </c>
      <c r="L84" s="32"/>
      <c r="M84" s="32"/>
      <c r="N84" s="32">
        <f t="shared" si="24"/>
        <v>50.992400000000004</v>
      </c>
      <c r="O84" s="32">
        <f t="shared" si="25"/>
        <v>5</v>
      </c>
      <c r="P84" s="32">
        <f t="shared" ca="1" si="26"/>
        <v>0</v>
      </c>
      <c r="Q84" s="33" t="s">
        <v>1141</v>
      </c>
      <c r="R84" s="175">
        <f t="shared" si="27"/>
        <v>0</v>
      </c>
      <c r="S84" s="34">
        <f>-SUMPRODUCT((Q$8:Q83=Q84)*(T$8:T83=T84))</f>
        <v>0</v>
      </c>
      <c r="T84" s="35">
        <f t="shared" si="28"/>
        <v>51.019860000000001</v>
      </c>
      <c r="U84" s="186">
        <v>18</v>
      </c>
      <c r="V84" s="32">
        <v>17</v>
      </c>
      <c r="W84" s="184">
        <v>16</v>
      </c>
      <c r="X84" s="32">
        <v>16</v>
      </c>
      <c r="Y84" s="184">
        <v>15</v>
      </c>
      <c r="Z84" s="32"/>
      <c r="AB84" s="36">
        <v>0</v>
      </c>
      <c r="AC84" s="36">
        <v>0</v>
      </c>
      <c r="AD84" s="36">
        <v>0</v>
      </c>
      <c r="AE84" s="36">
        <v>0</v>
      </c>
      <c r="AF84" s="37">
        <v>4</v>
      </c>
      <c r="AG84" s="38">
        <v>51.012884999999997</v>
      </c>
      <c r="AH84" s="39">
        <v>18</v>
      </c>
      <c r="AI84" s="32">
        <v>53</v>
      </c>
      <c r="AJ84" s="25"/>
      <c r="AK84" s="25"/>
      <c r="AL84" s="25" t="s">
        <v>1219</v>
      </c>
    </row>
    <row r="85" spans="1:38">
      <c r="A85" s="1">
        <v>6</v>
      </c>
      <c r="B85" s="40">
        <f t="shared" si="22"/>
        <v>6</v>
      </c>
      <c r="C85" s="1" t="s">
        <v>1220</v>
      </c>
      <c r="D85" s="166" t="s">
        <v>38</v>
      </c>
      <c r="E85" s="186">
        <v>13</v>
      </c>
      <c r="F85" s="184"/>
      <c r="G85" s="184">
        <v>17</v>
      </c>
      <c r="H85" s="32">
        <v>15</v>
      </c>
      <c r="I85" s="32"/>
      <c r="J85" s="32"/>
      <c r="K85" s="32">
        <f t="shared" si="23"/>
        <v>45</v>
      </c>
      <c r="L85" s="32"/>
      <c r="M85" s="32"/>
      <c r="N85" s="32">
        <f t="shared" si="24"/>
        <v>44.9923</v>
      </c>
      <c r="O85" s="32">
        <f t="shared" si="25"/>
        <v>3</v>
      </c>
      <c r="P85" s="32">
        <f t="shared" ca="1" si="26"/>
        <v>0</v>
      </c>
      <c r="Q85" s="33" t="s">
        <v>1141</v>
      </c>
      <c r="R85" s="175">
        <f t="shared" si="27"/>
        <v>0</v>
      </c>
      <c r="S85" s="34">
        <f>-SUMPRODUCT((Q$8:Q84=Q85)*(T$8:T84=T85))</f>
        <v>0</v>
      </c>
      <c r="T85" s="35">
        <f t="shared" si="28"/>
        <v>45.018630000000002</v>
      </c>
      <c r="U85" s="184">
        <v>17</v>
      </c>
      <c r="V85" s="32">
        <v>15</v>
      </c>
      <c r="W85" s="186">
        <v>13</v>
      </c>
      <c r="X85" s="184"/>
      <c r="Y85" s="32"/>
      <c r="Z85" s="32"/>
      <c r="AB85" s="36">
        <v>0</v>
      </c>
      <c r="AC85" s="36">
        <v>0</v>
      </c>
      <c r="AD85" s="36">
        <v>0</v>
      </c>
      <c r="AE85" s="36">
        <v>0</v>
      </c>
      <c r="AF85" s="37">
        <v>3</v>
      </c>
      <c r="AG85" s="38">
        <v>45.006084999999992</v>
      </c>
      <c r="AH85" s="39">
        <v>17</v>
      </c>
      <c r="AI85" s="32">
        <v>49</v>
      </c>
      <c r="AJ85" s="25"/>
      <c r="AK85" s="25"/>
      <c r="AL85" s="25"/>
    </row>
    <row r="86" spans="1:38">
      <c r="A86" s="1">
        <v>7</v>
      </c>
      <c r="B86" s="40">
        <f t="shared" si="22"/>
        <v>7</v>
      </c>
      <c r="C86" s="1" t="s">
        <v>1221</v>
      </c>
      <c r="D86" s="166" t="s">
        <v>38</v>
      </c>
      <c r="E86" s="186">
        <v>14</v>
      </c>
      <c r="F86" s="184">
        <v>13</v>
      </c>
      <c r="G86" s="184"/>
      <c r="H86" s="32">
        <v>14</v>
      </c>
      <c r="I86" s="32"/>
      <c r="J86" s="32"/>
      <c r="K86" s="32">
        <f t="shared" si="23"/>
        <v>41</v>
      </c>
      <c r="L86" s="32"/>
      <c r="M86" s="32"/>
      <c r="N86" s="32">
        <f t="shared" si="24"/>
        <v>40.992199999999997</v>
      </c>
      <c r="O86" s="32">
        <f t="shared" si="25"/>
        <v>3</v>
      </c>
      <c r="P86" s="32">
        <f t="shared" ca="1" si="26"/>
        <v>0</v>
      </c>
      <c r="Q86" s="33" t="s">
        <v>1141</v>
      </c>
      <c r="R86" s="175">
        <f t="shared" si="27"/>
        <v>0</v>
      </c>
      <c r="S86" s="34">
        <f>-SUMPRODUCT((Q$8:Q85=Q86)*(T$8:T85=T86))</f>
        <v>0</v>
      </c>
      <c r="T86" s="35">
        <f t="shared" si="28"/>
        <v>41.015529999999998</v>
      </c>
      <c r="U86" s="186">
        <v>14</v>
      </c>
      <c r="V86" s="32">
        <v>14</v>
      </c>
      <c r="W86" s="184">
        <v>13</v>
      </c>
      <c r="X86" s="184"/>
      <c r="Y86" s="32"/>
      <c r="Z86" s="32"/>
      <c r="AB86" s="36">
        <v>0</v>
      </c>
      <c r="AC86" s="36">
        <v>0</v>
      </c>
      <c r="AD86" s="36">
        <v>0</v>
      </c>
      <c r="AE86" s="36">
        <v>0</v>
      </c>
      <c r="AF86" s="37">
        <v>3</v>
      </c>
      <c r="AG86" s="38">
        <v>41.008240000000008</v>
      </c>
      <c r="AH86" s="39">
        <v>14</v>
      </c>
      <c r="AI86" s="32">
        <v>42</v>
      </c>
      <c r="AJ86" s="25"/>
      <c r="AK86" s="25"/>
      <c r="AL86" s="25"/>
    </row>
    <row r="87" spans="1:38">
      <c r="A87" s="1">
        <v>8</v>
      </c>
      <c r="B87" s="40">
        <f t="shared" si="22"/>
        <v>8</v>
      </c>
      <c r="C87" s="1" t="s">
        <v>1222</v>
      </c>
      <c r="D87" s="166" t="s">
        <v>29</v>
      </c>
      <c r="E87" s="186">
        <v>16</v>
      </c>
      <c r="F87" s="184">
        <v>15</v>
      </c>
      <c r="G87" s="184"/>
      <c r="H87" s="32"/>
      <c r="I87" s="32"/>
      <c r="J87" s="32"/>
      <c r="K87" s="32">
        <f t="shared" si="23"/>
        <v>31</v>
      </c>
      <c r="L87" s="32"/>
      <c r="M87" s="32"/>
      <c r="N87" s="32">
        <f t="shared" si="24"/>
        <v>30.992100000000001</v>
      </c>
      <c r="O87" s="32">
        <f t="shared" si="25"/>
        <v>2</v>
      </c>
      <c r="P87" s="32">
        <f t="shared" ca="1" si="26"/>
        <v>0</v>
      </c>
      <c r="Q87" s="33" t="s">
        <v>1141</v>
      </c>
      <c r="R87" s="175">
        <f t="shared" si="27"/>
        <v>0</v>
      </c>
      <c r="S87" s="34">
        <f>-SUMPRODUCT((Q$8:Q86=Q87)*(T$8:T86=T87))</f>
        <v>0</v>
      </c>
      <c r="T87" s="35">
        <f t="shared" si="28"/>
        <v>31.017499999999998</v>
      </c>
      <c r="U87" s="186">
        <v>16</v>
      </c>
      <c r="V87" s="184">
        <v>15</v>
      </c>
      <c r="W87" s="184"/>
      <c r="X87" s="32"/>
      <c r="Y87" s="32"/>
      <c r="Z87" s="32"/>
      <c r="AB87" s="36">
        <v>0</v>
      </c>
      <c r="AC87" s="36">
        <v>0</v>
      </c>
      <c r="AD87" s="36">
        <v>0</v>
      </c>
      <c r="AE87" s="36">
        <v>0</v>
      </c>
      <c r="AF87" s="37">
        <v>2</v>
      </c>
      <c r="AG87" s="38">
        <v>31.010099999999998</v>
      </c>
      <c r="AH87" s="39">
        <v>16</v>
      </c>
      <c r="AI87" s="32">
        <v>47</v>
      </c>
      <c r="AJ87" s="25"/>
      <c r="AK87" s="25"/>
      <c r="AL87" s="25"/>
    </row>
    <row r="88" spans="1:38">
      <c r="A88" s="1">
        <v>9</v>
      </c>
      <c r="B88" s="40">
        <f t="shared" si="22"/>
        <v>9</v>
      </c>
      <c r="C88" s="1" t="s">
        <v>1223</v>
      </c>
      <c r="D88" s="166" t="s">
        <v>57</v>
      </c>
      <c r="E88" s="186">
        <v>15</v>
      </c>
      <c r="F88" s="184"/>
      <c r="G88" s="184">
        <v>14</v>
      </c>
      <c r="H88" s="32"/>
      <c r="I88" s="32"/>
      <c r="J88" s="32"/>
      <c r="K88" s="32">
        <f t="shared" si="23"/>
        <v>29</v>
      </c>
      <c r="L88" s="32"/>
      <c r="M88" s="32"/>
      <c r="N88" s="32">
        <f t="shared" si="24"/>
        <v>28.992000000000001</v>
      </c>
      <c r="O88" s="32">
        <f t="shared" si="25"/>
        <v>2</v>
      </c>
      <c r="P88" s="32">
        <f t="shared" ca="1" si="26"/>
        <v>0</v>
      </c>
      <c r="Q88" s="33" t="s">
        <v>1141</v>
      </c>
      <c r="R88" s="175">
        <f t="shared" si="27"/>
        <v>0</v>
      </c>
      <c r="S88" s="34">
        <f>-SUMPRODUCT((Q$8:Q87=Q88)*(T$8:T87=T88))</f>
        <v>0</v>
      </c>
      <c r="T88" s="35">
        <f t="shared" si="28"/>
        <v>29.016400000000001</v>
      </c>
      <c r="U88" s="186">
        <v>15</v>
      </c>
      <c r="V88" s="184">
        <v>14</v>
      </c>
      <c r="W88" s="184"/>
      <c r="X88" s="32"/>
      <c r="Y88" s="32"/>
      <c r="Z88" s="32"/>
      <c r="AB88" s="36">
        <v>0</v>
      </c>
      <c r="AC88" s="36">
        <v>0</v>
      </c>
      <c r="AD88" s="36">
        <v>0</v>
      </c>
      <c r="AE88" s="36">
        <v>0</v>
      </c>
      <c r="AF88" s="37">
        <v>2</v>
      </c>
      <c r="AG88" s="38">
        <v>29.007639999999999</v>
      </c>
      <c r="AH88" s="39">
        <v>15</v>
      </c>
      <c r="AI88" s="32">
        <v>44</v>
      </c>
      <c r="AJ88" s="25"/>
      <c r="AK88" s="25"/>
      <c r="AL88" s="25"/>
    </row>
    <row r="89" spans="1:38">
      <c r="A89" s="1">
        <v>10</v>
      </c>
      <c r="B89" s="40">
        <f t="shared" si="22"/>
        <v>10</v>
      </c>
      <c r="C89" s="1" t="s">
        <v>1147</v>
      </c>
      <c r="D89" s="166" t="s">
        <v>19</v>
      </c>
      <c r="E89" s="186"/>
      <c r="F89" s="184"/>
      <c r="G89" s="184"/>
      <c r="H89" s="32">
        <v>13</v>
      </c>
      <c r="I89" s="32">
        <v>15</v>
      </c>
      <c r="J89" s="32"/>
      <c r="K89" s="32">
        <f t="shared" si="23"/>
        <v>28</v>
      </c>
      <c r="L89" s="32"/>
      <c r="M89" s="32"/>
      <c r="N89" s="32">
        <f t="shared" si="24"/>
        <v>27.991900000000001</v>
      </c>
      <c r="O89" s="32">
        <f t="shared" si="25"/>
        <v>2</v>
      </c>
      <c r="P89" s="32">
        <f t="shared" ca="1" si="26"/>
        <v>0</v>
      </c>
      <c r="Q89" s="33" t="s">
        <v>1141</v>
      </c>
      <c r="R89" s="175">
        <f t="shared" si="27"/>
        <v>0</v>
      </c>
      <c r="S89" s="34">
        <f>-SUMPRODUCT((Q$8:Q88=Q89)*(T$8:T88=T89))</f>
        <v>0</v>
      </c>
      <c r="T89" s="35">
        <f t="shared" si="28"/>
        <v>28.016300000000001</v>
      </c>
      <c r="U89" s="32">
        <v>15</v>
      </c>
      <c r="V89" s="32">
        <v>13</v>
      </c>
      <c r="W89" s="186"/>
      <c r="X89" s="184"/>
      <c r="Y89" s="184"/>
      <c r="Z89" s="32"/>
      <c r="AB89" s="36">
        <v>0</v>
      </c>
      <c r="AC89" s="36">
        <v>0</v>
      </c>
      <c r="AD89" s="36">
        <v>0</v>
      </c>
      <c r="AE89" s="36">
        <v>0</v>
      </c>
      <c r="AF89" s="37">
        <v>1</v>
      </c>
      <c r="AG89" s="38">
        <v>12.992230000000001</v>
      </c>
      <c r="AH89" s="39">
        <v>13</v>
      </c>
      <c r="AI89" s="32">
        <v>26</v>
      </c>
      <c r="AJ89" s="25"/>
      <c r="AK89" s="25"/>
      <c r="AL89" s="25"/>
    </row>
    <row r="90" spans="1:38">
      <c r="A90" s="1">
        <v>11</v>
      </c>
      <c r="B90" s="40">
        <f t="shared" si="22"/>
        <v>11</v>
      </c>
      <c r="C90" s="1" t="s">
        <v>1224</v>
      </c>
      <c r="D90" s="166" t="s">
        <v>19</v>
      </c>
      <c r="E90" s="186">
        <v>12</v>
      </c>
      <c r="F90" s="184">
        <v>14</v>
      </c>
      <c r="G90" s="184"/>
      <c r="H90" s="32"/>
      <c r="I90" s="32"/>
      <c r="J90" s="32"/>
      <c r="K90" s="32">
        <f t="shared" si="23"/>
        <v>26</v>
      </c>
      <c r="L90" s="32"/>
      <c r="M90" s="32"/>
      <c r="N90" s="32">
        <f t="shared" si="24"/>
        <v>25.991800000000001</v>
      </c>
      <c r="O90" s="32">
        <f t="shared" si="25"/>
        <v>2</v>
      </c>
      <c r="P90" s="32">
        <f t="shared" ca="1" si="26"/>
        <v>0</v>
      </c>
      <c r="Q90" s="33" t="s">
        <v>1141</v>
      </c>
      <c r="R90" s="175">
        <f t="shared" si="27"/>
        <v>0</v>
      </c>
      <c r="S90" s="34">
        <f>-SUMPRODUCT((Q$8:Q89=Q90)*(T$8:T89=T90))</f>
        <v>0</v>
      </c>
      <c r="T90" s="35">
        <f t="shared" si="28"/>
        <v>26.0152</v>
      </c>
      <c r="U90" s="184">
        <v>14</v>
      </c>
      <c r="V90" s="186">
        <v>12</v>
      </c>
      <c r="W90" s="184"/>
      <c r="X90" s="32"/>
      <c r="Y90" s="32"/>
      <c r="Z90" s="32"/>
      <c r="AB90" s="36">
        <v>0</v>
      </c>
      <c r="AC90" s="36">
        <v>0</v>
      </c>
      <c r="AD90" s="36">
        <v>0</v>
      </c>
      <c r="AE90" s="36">
        <v>0</v>
      </c>
      <c r="AF90" s="37">
        <v>2</v>
      </c>
      <c r="AG90" s="38">
        <v>26.005800000000001</v>
      </c>
      <c r="AH90" s="39">
        <v>14</v>
      </c>
      <c r="AI90" s="32">
        <v>40</v>
      </c>
      <c r="AJ90" s="25"/>
      <c r="AK90" s="25"/>
      <c r="AL90" s="25"/>
    </row>
    <row r="91" spans="1:38">
      <c r="A91" s="1">
        <v>12</v>
      </c>
      <c r="B91" s="40">
        <f t="shared" si="22"/>
        <v>12</v>
      </c>
      <c r="C91" s="1" t="s">
        <v>1225</v>
      </c>
      <c r="D91" s="166" t="s">
        <v>57</v>
      </c>
      <c r="E91" s="186">
        <v>17</v>
      </c>
      <c r="F91" s="184"/>
      <c r="G91" s="184"/>
      <c r="H91" s="32"/>
      <c r="I91" s="32"/>
      <c r="J91" s="32"/>
      <c r="K91" s="32">
        <f t="shared" si="23"/>
        <v>17</v>
      </c>
      <c r="L91" s="32"/>
      <c r="M91" s="32"/>
      <c r="N91" s="32">
        <f t="shared" si="24"/>
        <v>16.991700000000002</v>
      </c>
      <c r="O91" s="32">
        <f t="shared" si="25"/>
        <v>1</v>
      </c>
      <c r="P91" s="32">
        <f t="shared" ca="1" si="26"/>
        <v>0</v>
      </c>
      <c r="Q91" s="33" t="s">
        <v>1141</v>
      </c>
      <c r="R91" s="175">
        <f t="shared" si="27"/>
        <v>0</v>
      </c>
      <c r="S91" s="34">
        <f>-SUMPRODUCT((Q$8:Q90=Q91)*(T$8:T90=T91))</f>
        <v>0</v>
      </c>
      <c r="T91" s="35">
        <f t="shared" si="28"/>
        <v>17.016999999999999</v>
      </c>
      <c r="U91" s="186">
        <v>17</v>
      </c>
      <c r="V91" s="184"/>
      <c r="W91" s="184"/>
      <c r="X91" s="32"/>
      <c r="Y91" s="32"/>
      <c r="Z91" s="32"/>
      <c r="AB91" s="36">
        <v>0</v>
      </c>
      <c r="AC91" s="36">
        <v>0</v>
      </c>
      <c r="AD91" s="36">
        <v>0</v>
      </c>
      <c r="AE91" s="36">
        <v>0</v>
      </c>
      <c r="AF91" s="37">
        <v>1</v>
      </c>
      <c r="AG91" s="38">
        <v>17.0093</v>
      </c>
      <c r="AH91" s="39">
        <v>17</v>
      </c>
      <c r="AI91" s="32">
        <v>34</v>
      </c>
      <c r="AJ91" s="25"/>
      <c r="AK91" s="25"/>
      <c r="AL91" s="25"/>
    </row>
    <row r="92" spans="1:38">
      <c r="A92" s="1">
        <v>13</v>
      </c>
      <c r="B92" s="40">
        <f t="shared" si="22"/>
        <v>13</v>
      </c>
      <c r="C92" s="1" t="s">
        <v>1226</v>
      </c>
      <c r="D92" s="166" t="s">
        <v>19</v>
      </c>
      <c r="E92" s="186"/>
      <c r="F92" s="184"/>
      <c r="G92" s="184">
        <v>16</v>
      </c>
      <c r="H92" s="32"/>
      <c r="I92" s="32"/>
      <c r="J92" s="32"/>
      <c r="K92" s="32">
        <f t="shared" si="23"/>
        <v>16</v>
      </c>
      <c r="L92" s="32"/>
      <c r="M92" s="32"/>
      <c r="N92" s="32">
        <f t="shared" si="24"/>
        <v>15.9916</v>
      </c>
      <c r="O92" s="32">
        <f t="shared" si="25"/>
        <v>1</v>
      </c>
      <c r="P92" s="32">
        <f t="shared" ca="1" si="26"/>
        <v>0</v>
      </c>
      <c r="Q92" s="33" t="s">
        <v>1141</v>
      </c>
      <c r="R92" s="175">
        <f t="shared" si="27"/>
        <v>0</v>
      </c>
      <c r="S92" s="34">
        <f>-SUMPRODUCT((Q$8:Q91=Q92)*(T$8:T91=T92))</f>
        <v>0</v>
      </c>
      <c r="T92" s="35">
        <f t="shared" si="28"/>
        <v>16.015999999999998</v>
      </c>
      <c r="U92" s="184">
        <v>16</v>
      </c>
      <c r="V92" s="186"/>
      <c r="W92" s="184"/>
      <c r="X92" s="32"/>
      <c r="Y92" s="32"/>
      <c r="Z92" s="32"/>
      <c r="AB92" s="36">
        <v>0</v>
      </c>
      <c r="AC92" s="36">
        <v>0</v>
      </c>
      <c r="AD92" s="36">
        <v>0</v>
      </c>
      <c r="AE92" s="36">
        <v>0</v>
      </c>
      <c r="AF92" s="37">
        <v>1</v>
      </c>
      <c r="AG92" s="38">
        <v>15.99236</v>
      </c>
      <c r="AH92" s="39">
        <v>16</v>
      </c>
      <c r="AI92" s="32">
        <v>32</v>
      </c>
      <c r="AJ92" s="25"/>
      <c r="AK92" s="25"/>
      <c r="AL92" s="25"/>
    </row>
    <row r="93" spans="1:38">
      <c r="A93" s="1">
        <v>14</v>
      </c>
      <c r="B93" s="40">
        <f t="shared" si="22"/>
        <v>14</v>
      </c>
      <c r="C93" s="1" t="s">
        <v>1148</v>
      </c>
      <c r="D93" s="166" t="s">
        <v>19</v>
      </c>
      <c r="E93" s="186"/>
      <c r="F93" s="184"/>
      <c r="G93" s="184"/>
      <c r="H93" s="32"/>
      <c r="I93" s="32">
        <v>14</v>
      </c>
      <c r="J93" s="32"/>
      <c r="K93" s="32">
        <f t="shared" si="23"/>
        <v>14</v>
      </c>
      <c r="L93" s="32"/>
      <c r="M93" s="32"/>
      <c r="N93" s="32">
        <f t="shared" si="24"/>
        <v>13.9915</v>
      </c>
      <c r="O93" s="32">
        <f t="shared" si="25"/>
        <v>1</v>
      </c>
      <c r="P93" s="32" t="str">
        <f t="shared" ca="1" si="26"/>
        <v>Y</v>
      </c>
      <c r="Q93" s="33" t="s">
        <v>1141</v>
      </c>
      <c r="R93" s="175">
        <f t="shared" si="27"/>
        <v>0</v>
      </c>
      <c r="S93" s="34">
        <f>-SUMPRODUCT((Q$8:Q92=Q93)*(T$8:T92=T93))</f>
        <v>0</v>
      </c>
      <c r="T93" s="35">
        <f t="shared" si="28"/>
        <v>14.013999999999999</v>
      </c>
      <c r="U93" s="32">
        <v>14</v>
      </c>
      <c r="V93" s="186"/>
      <c r="W93" s="184"/>
      <c r="X93" s="184"/>
      <c r="Y93" s="32"/>
      <c r="Z93" s="32"/>
      <c r="AB93" s="36"/>
      <c r="AC93" s="36"/>
      <c r="AD93" s="36"/>
      <c r="AE93" s="36"/>
      <c r="AF93" s="37"/>
      <c r="AG93" s="38"/>
      <c r="AH93" s="39"/>
      <c r="AI93" s="32"/>
      <c r="AJ93" s="25"/>
      <c r="AK93" s="25"/>
      <c r="AL93" s="25"/>
    </row>
    <row r="94" spans="1:38">
      <c r="A94" s="1">
        <v>15</v>
      </c>
      <c r="B94" s="40">
        <f t="shared" si="22"/>
        <v>15</v>
      </c>
      <c r="C94" s="1" t="s">
        <v>1227</v>
      </c>
      <c r="D94" s="166" t="s">
        <v>66</v>
      </c>
      <c r="E94" s="186"/>
      <c r="F94" s="184">
        <v>12</v>
      </c>
      <c r="G94" s="184"/>
      <c r="H94" s="32"/>
      <c r="I94" s="32"/>
      <c r="J94" s="32"/>
      <c r="K94" s="32">
        <f t="shared" si="23"/>
        <v>12</v>
      </c>
      <c r="L94" s="32"/>
      <c r="M94" s="32"/>
      <c r="N94" s="32">
        <f t="shared" si="24"/>
        <v>11.991400000000001</v>
      </c>
      <c r="O94" s="32">
        <f t="shared" si="25"/>
        <v>1</v>
      </c>
      <c r="P94" s="32">
        <f t="shared" ca="1" si="26"/>
        <v>0</v>
      </c>
      <c r="Q94" s="33" t="s">
        <v>1141</v>
      </c>
      <c r="R94" s="175">
        <f t="shared" si="27"/>
        <v>0</v>
      </c>
      <c r="S94" s="34">
        <f>-SUMPRODUCT((Q$8:Q93=Q94)*(T$8:T93=T94))</f>
        <v>0</v>
      </c>
      <c r="T94" s="35">
        <f t="shared" si="28"/>
        <v>12.012</v>
      </c>
      <c r="U94" s="184">
        <v>12</v>
      </c>
      <c r="V94" s="186"/>
      <c r="W94" s="184"/>
      <c r="X94" s="32"/>
      <c r="Y94" s="32"/>
      <c r="Z94" s="32"/>
      <c r="AB94" s="36">
        <v>0</v>
      </c>
      <c r="AC94" s="36">
        <v>0</v>
      </c>
      <c r="AD94" s="36">
        <v>0</v>
      </c>
      <c r="AE94" s="36">
        <v>0</v>
      </c>
      <c r="AF94" s="37">
        <v>1</v>
      </c>
      <c r="AG94" s="38">
        <v>11.993200000000002</v>
      </c>
      <c r="AH94" s="39">
        <v>12</v>
      </c>
      <c r="AI94" s="32">
        <v>24</v>
      </c>
      <c r="AJ94" s="25"/>
      <c r="AK94" s="25"/>
      <c r="AL94" s="25"/>
    </row>
    <row r="95" spans="1:38">
      <c r="A95" s="1">
        <v>16</v>
      </c>
      <c r="B95" s="40">
        <f t="shared" si="22"/>
        <v>16</v>
      </c>
      <c r="C95" s="1" t="s">
        <v>1228</v>
      </c>
      <c r="D95" s="166" t="s">
        <v>1113</v>
      </c>
      <c r="E95" s="186">
        <v>11</v>
      </c>
      <c r="F95" s="184"/>
      <c r="G95" s="184"/>
      <c r="H95" s="32"/>
      <c r="I95" s="32"/>
      <c r="J95" s="32"/>
      <c r="K95" s="32">
        <f t="shared" si="23"/>
        <v>11</v>
      </c>
      <c r="L95" s="32"/>
      <c r="M95" s="32"/>
      <c r="N95" s="32">
        <f t="shared" si="24"/>
        <v>10.991300000000001</v>
      </c>
      <c r="O95" s="32">
        <f t="shared" si="25"/>
        <v>1</v>
      </c>
      <c r="P95" s="32">
        <f t="shared" ca="1" si="26"/>
        <v>0</v>
      </c>
      <c r="Q95" s="33" t="s">
        <v>1141</v>
      </c>
      <c r="R95" s="175">
        <f t="shared" si="27"/>
        <v>0</v>
      </c>
      <c r="S95" s="34">
        <f>-SUMPRODUCT((Q$8:Q94=Q95)*(T$8:T94=T95))</f>
        <v>0</v>
      </c>
      <c r="T95" s="35">
        <f t="shared" si="28"/>
        <v>11.010999999999999</v>
      </c>
      <c r="U95" s="186">
        <v>11</v>
      </c>
      <c r="V95" s="184"/>
      <c r="W95" s="184"/>
      <c r="X95" s="32"/>
      <c r="Y95" s="32"/>
      <c r="Z95" s="32"/>
      <c r="AB95" s="36">
        <v>0</v>
      </c>
      <c r="AC95" s="36">
        <v>0</v>
      </c>
      <c r="AD95" s="36">
        <v>0</v>
      </c>
      <c r="AE95" s="36">
        <v>0</v>
      </c>
      <c r="AF95" s="37">
        <v>1</v>
      </c>
      <c r="AG95" s="38">
        <v>11.002899999999999</v>
      </c>
      <c r="AH95" s="39">
        <v>11</v>
      </c>
      <c r="AI95" s="32">
        <v>22</v>
      </c>
      <c r="AJ95" s="25"/>
      <c r="AK95" s="25"/>
      <c r="AL95" s="25"/>
    </row>
    <row r="96" spans="1:38">
      <c r="A96" s="1">
        <v>17</v>
      </c>
      <c r="B96" s="40">
        <f t="shared" si="22"/>
        <v>17</v>
      </c>
      <c r="C96" s="1" t="s">
        <v>1229</v>
      </c>
      <c r="D96" s="166" t="s">
        <v>1113</v>
      </c>
      <c r="E96" s="186">
        <v>10</v>
      </c>
      <c r="F96" s="184"/>
      <c r="G96" s="184"/>
      <c r="H96" s="32"/>
      <c r="I96" s="32"/>
      <c r="J96" s="32"/>
      <c r="K96" s="32">
        <f t="shared" si="23"/>
        <v>10</v>
      </c>
      <c r="L96" s="32"/>
      <c r="M96" s="32"/>
      <c r="N96" s="32">
        <f t="shared" si="24"/>
        <v>9.9911999999999992</v>
      </c>
      <c r="O96" s="32">
        <f t="shared" si="25"/>
        <v>1</v>
      </c>
      <c r="P96" s="32">
        <f t="shared" ca="1" si="26"/>
        <v>0</v>
      </c>
      <c r="Q96" s="33" t="s">
        <v>1141</v>
      </c>
      <c r="R96" s="175">
        <f t="shared" si="27"/>
        <v>0</v>
      </c>
      <c r="S96" s="34">
        <f>-SUMPRODUCT((Q$8:Q95=Q96)*(T$8:T95=T96))</f>
        <v>0</v>
      </c>
      <c r="T96" s="35">
        <f t="shared" si="28"/>
        <v>10.01</v>
      </c>
      <c r="U96" s="186">
        <v>10</v>
      </c>
      <c r="V96" s="184"/>
      <c r="W96" s="184"/>
      <c r="X96" s="32"/>
      <c r="Y96" s="32"/>
      <c r="Z96" s="32"/>
      <c r="AB96" s="36">
        <v>0</v>
      </c>
      <c r="AC96" s="36">
        <v>0</v>
      </c>
      <c r="AD96" s="36">
        <v>0</v>
      </c>
      <c r="AE96" s="36">
        <v>0</v>
      </c>
      <c r="AF96" s="37">
        <v>1</v>
      </c>
      <c r="AG96" s="38">
        <v>10.001799999999999</v>
      </c>
      <c r="AH96" s="39">
        <v>10</v>
      </c>
      <c r="AI96" s="32">
        <v>20</v>
      </c>
      <c r="AJ96" s="25"/>
      <c r="AK96" s="25"/>
      <c r="AL96" s="25"/>
    </row>
    <row r="97" spans="1:38">
      <c r="A97" s="1">
        <v>18</v>
      </c>
      <c r="B97" s="40">
        <f t="shared" si="22"/>
        <v>18</v>
      </c>
      <c r="C97" s="1" t="s">
        <v>1230</v>
      </c>
      <c r="D97" s="166" t="s">
        <v>66</v>
      </c>
      <c r="E97" s="186">
        <v>9</v>
      </c>
      <c r="F97" s="184"/>
      <c r="G97" s="184"/>
      <c r="H97" s="32"/>
      <c r="I97" s="32"/>
      <c r="J97" s="32"/>
      <c r="K97" s="32">
        <f t="shared" si="23"/>
        <v>9</v>
      </c>
      <c r="L97" s="32"/>
      <c r="M97" s="32"/>
      <c r="N97" s="32">
        <f t="shared" si="24"/>
        <v>8.9910999999999994</v>
      </c>
      <c r="O97" s="32">
        <f t="shared" si="25"/>
        <v>1</v>
      </c>
      <c r="P97" s="32">
        <f t="shared" ca="1" si="26"/>
        <v>0</v>
      </c>
      <c r="Q97" s="33" t="s">
        <v>1141</v>
      </c>
      <c r="R97" s="175">
        <f t="shared" si="27"/>
        <v>0</v>
      </c>
      <c r="S97" s="34">
        <f>-SUMPRODUCT((Q$8:Q96=Q97)*(T$8:T96=T97))</f>
        <v>0</v>
      </c>
      <c r="T97" s="35">
        <f t="shared" si="28"/>
        <v>9.0090000000000003</v>
      </c>
      <c r="U97" s="186">
        <v>9</v>
      </c>
      <c r="V97" s="184"/>
      <c r="W97" s="184"/>
      <c r="X97" s="32"/>
      <c r="Y97" s="32"/>
      <c r="Z97" s="32"/>
      <c r="AB97" s="36">
        <v>0</v>
      </c>
      <c r="AC97" s="36">
        <v>0</v>
      </c>
      <c r="AD97" s="36">
        <v>0</v>
      </c>
      <c r="AE97" s="36">
        <v>0</v>
      </c>
      <c r="AF97" s="187">
        <v>1</v>
      </c>
      <c r="AG97" s="188">
        <v>9.0007000000000001</v>
      </c>
      <c r="AH97" s="39">
        <v>9</v>
      </c>
      <c r="AI97" s="32">
        <v>18</v>
      </c>
      <c r="AJ97" s="25"/>
      <c r="AK97" s="25"/>
      <c r="AL97" s="25"/>
    </row>
    <row r="98" spans="1:38" ht="3" customHeight="1">
      <c r="A98" s="166"/>
      <c r="B98" s="166"/>
      <c r="C98" s="166"/>
      <c r="D98" s="166"/>
      <c r="E98" s="186"/>
      <c r="F98" s="186"/>
      <c r="G98" s="184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5"/>
      <c r="T98" s="35"/>
      <c r="U98" s="32"/>
      <c r="V98" s="32"/>
      <c r="W98" s="32"/>
      <c r="X98" s="32"/>
      <c r="Y98" s="32"/>
      <c r="Z98" s="32"/>
      <c r="AF98" s="1"/>
      <c r="AG98" s="39"/>
      <c r="AH98" s="25"/>
      <c r="AI98" s="25"/>
      <c r="AJ98" s="25"/>
      <c r="AK98" s="25"/>
      <c r="AL98" s="25"/>
    </row>
    <row r="99" spans="1:38" ht="15">
      <c r="D99" s="179"/>
      <c r="E99" s="183"/>
      <c r="F99" s="184"/>
      <c r="G99" s="184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5"/>
      <c r="T99" s="35"/>
      <c r="U99" s="32"/>
      <c r="V99" s="32"/>
      <c r="W99" s="32"/>
      <c r="X99" s="32"/>
      <c r="Y99" s="32"/>
      <c r="Z99" s="32"/>
      <c r="AF99" s="1"/>
      <c r="AG99" s="39"/>
      <c r="AH99" s="25"/>
      <c r="AI99" s="25"/>
      <c r="AJ99" s="25"/>
      <c r="AK99" s="25"/>
      <c r="AL99" s="25"/>
    </row>
    <row r="100" spans="1:38" ht="15">
      <c r="A100" s="26" t="s">
        <v>1149</v>
      </c>
      <c r="B100" s="26" t="s">
        <v>1149</v>
      </c>
      <c r="D100" s="179"/>
      <c r="E100" s="183"/>
      <c r="F100" s="184"/>
      <c r="G100" s="184"/>
      <c r="H100" s="32"/>
      <c r="I100" s="32"/>
      <c r="J100" s="32"/>
      <c r="K100" s="32"/>
      <c r="L100" s="32"/>
      <c r="M100" s="32"/>
      <c r="N100" s="32"/>
      <c r="O100" s="32"/>
      <c r="P100" s="32"/>
      <c r="Q100" s="56" t="str">
        <f>A100</f>
        <v>U15B</v>
      </c>
      <c r="R100" s="32"/>
      <c r="S100" s="35"/>
      <c r="T100" s="35"/>
      <c r="U100" s="32"/>
      <c r="V100" s="32"/>
      <c r="W100" s="32"/>
      <c r="X100" s="32"/>
      <c r="Y100" s="32"/>
      <c r="Z100" s="32"/>
      <c r="AF100" s="1"/>
      <c r="AG100" s="39"/>
      <c r="AH100" s="25"/>
      <c r="AI100" s="25"/>
      <c r="AJ100" s="25">
        <v>45</v>
      </c>
      <c r="AK100" s="25">
        <v>37</v>
      </c>
      <c r="AL100" s="25">
        <v>36</v>
      </c>
    </row>
    <row r="101" spans="1:38">
      <c r="A101" s="1">
        <v>1</v>
      </c>
      <c r="B101" s="40">
        <f t="shared" ref="B101:B111" si="29">IF(OR(S101&lt;0,S102&lt;0),"="&amp;A101+S101&amp;" ",A101)</f>
        <v>1</v>
      </c>
      <c r="C101" s="1" t="s">
        <v>1150</v>
      </c>
      <c r="D101" s="166" t="s">
        <v>201</v>
      </c>
      <c r="E101" s="186">
        <v>15</v>
      </c>
      <c r="F101" s="184">
        <v>15</v>
      </c>
      <c r="G101" s="184">
        <v>15</v>
      </c>
      <c r="H101" s="32">
        <v>15</v>
      </c>
      <c r="I101" s="32">
        <v>15</v>
      </c>
      <c r="J101" s="32"/>
      <c r="K101" s="32">
        <f t="shared" ref="K101:K111" si="30">IFERROR(LARGE(E101:J101,1),0)+IF($D$7&gt;=2,IFERROR(LARGE(E101:J101,2),0),0)+IF($D$7&gt;=3,IFERROR(LARGE(E101:J101,3),0),0)+IF($D$7&gt;=4,IFERROR(LARGE(E101:J101,4),0),0)+IF($D$7&gt;=5,IFERROR(LARGE(E101:J101,5),0),0)+IF($D$7&gt;=6,IFERROR(LARGE(E101:J101,6),0),0)</f>
        <v>45</v>
      </c>
      <c r="L101" s="32"/>
      <c r="M101" s="32" t="s">
        <v>1231</v>
      </c>
      <c r="N101" s="32">
        <f t="shared" ref="N101:N111" si="31">K101-(ROW(K101)-ROW(K$8))/10000</f>
        <v>44.990699999999997</v>
      </c>
      <c r="O101" s="32">
        <f t="shared" ref="O101:O111" si="32">COUNT(E101:J101)</f>
        <v>5</v>
      </c>
      <c r="P101" s="32">
        <f t="shared" ref="P101:P111" ca="1" si="33">IF(AND(O101=1,OFFSET(D101,0,P$3)&gt;0),"Y",0)</f>
        <v>0</v>
      </c>
      <c r="Q101" s="33" t="s">
        <v>1149</v>
      </c>
      <c r="R101" s="175">
        <f t="shared" ref="R101:R111" si="34">1-(Q101=Q100)</f>
        <v>0</v>
      </c>
      <c r="S101" s="34">
        <f>-SUMPRODUCT((Q$8:Q100=Q101)*(T$8:T100=T101))</f>
        <v>0</v>
      </c>
      <c r="T101" s="35">
        <f t="shared" ref="T101:T111" si="35">K101+SUMPRODUCT(U$6:Z$6,U101:Z101)</f>
        <v>45.016649999999998</v>
      </c>
      <c r="U101" s="186">
        <v>15</v>
      </c>
      <c r="V101" s="184">
        <v>15</v>
      </c>
      <c r="W101" s="184">
        <v>15</v>
      </c>
      <c r="X101" s="32">
        <v>15</v>
      </c>
      <c r="Y101" s="32">
        <v>15</v>
      </c>
      <c r="Z101" s="32"/>
      <c r="AB101" s="36">
        <v>0</v>
      </c>
      <c r="AC101" s="36">
        <v>0</v>
      </c>
      <c r="AD101" s="36">
        <v>0</v>
      </c>
      <c r="AE101" s="36">
        <v>0</v>
      </c>
      <c r="AF101" s="37">
        <v>4</v>
      </c>
      <c r="AG101" s="38">
        <v>45.007964999999999</v>
      </c>
      <c r="AH101" s="39">
        <v>15</v>
      </c>
      <c r="AI101" s="32">
        <v>45</v>
      </c>
      <c r="AJ101" s="25" t="s">
        <v>1231</v>
      </c>
      <c r="AK101" s="25"/>
      <c r="AL101" s="25"/>
    </row>
    <row r="102" spans="1:38">
      <c r="A102" s="1">
        <v>2</v>
      </c>
      <c r="B102" s="40">
        <f t="shared" si="29"/>
        <v>2</v>
      </c>
      <c r="C102" s="1" t="s">
        <v>1151</v>
      </c>
      <c r="D102" s="166" t="s">
        <v>38</v>
      </c>
      <c r="E102" s="186">
        <v>11</v>
      </c>
      <c r="F102" s="184">
        <v>12</v>
      </c>
      <c r="G102" s="184">
        <v>11</v>
      </c>
      <c r="H102" s="32">
        <v>14</v>
      </c>
      <c r="I102" s="32">
        <v>14</v>
      </c>
      <c r="J102" s="32"/>
      <c r="K102" s="32">
        <f t="shared" si="30"/>
        <v>40</v>
      </c>
      <c r="L102" s="32"/>
      <c r="M102" s="32" t="s">
        <v>1232</v>
      </c>
      <c r="N102" s="32">
        <f t="shared" si="31"/>
        <v>39.990600000000001</v>
      </c>
      <c r="O102" s="32">
        <f t="shared" si="32"/>
        <v>5</v>
      </c>
      <c r="P102" s="32">
        <f t="shared" ca="1" si="33"/>
        <v>0</v>
      </c>
      <c r="Q102" s="33" t="s">
        <v>1149</v>
      </c>
      <c r="R102" s="175">
        <f t="shared" si="34"/>
        <v>0</v>
      </c>
      <c r="S102" s="34">
        <f>-SUMPRODUCT((Q$8:Q101=Q102)*(T$8:T101=T102))</f>
        <v>0</v>
      </c>
      <c r="T102" s="35">
        <f t="shared" si="35"/>
        <v>40.015520000000002</v>
      </c>
      <c r="U102" s="32">
        <v>14</v>
      </c>
      <c r="V102" s="32">
        <v>14</v>
      </c>
      <c r="W102" s="184">
        <v>12</v>
      </c>
      <c r="X102" s="186">
        <v>11</v>
      </c>
      <c r="Y102" s="184">
        <v>11</v>
      </c>
      <c r="Z102" s="32"/>
      <c r="AB102" s="36">
        <v>0</v>
      </c>
      <c r="AC102" s="36">
        <v>0</v>
      </c>
      <c r="AD102" s="36">
        <v>0</v>
      </c>
      <c r="AE102" s="36">
        <v>0</v>
      </c>
      <c r="AF102" s="37">
        <v>4</v>
      </c>
      <c r="AG102" s="38">
        <v>37.003551000000002</v>
      </c>
      <c r="AH102" s="39">
        <v>14</v>
      </c>
      <c r="AI102" s="32">
        <v>40</v>
      </c>
      <c r="AJ102" s="25"/>
      <c r="AK102" s="25" t="s">
        <v>1232</v>
      </c>
      <c r="AL102" s="25" t="s">
        <v>1233</v>
      </c>
    </row>
    <row r="103" spans="1:38">
      <c r="A103" s="1">
        <v>3</v>
      </c>
      <c r="B103" s="40">
        <f t="shared" si="29"/>
        <v>3</v>
      </c>
      <c r="C103" s="1" t="s">
        <v>1152</v>
      </c>
      <c r="D103" s="166" t="s">
        <v>84</v>
      </c>
      <c r="E103" s="186">
        <v>10</v>
      </c>
      <c r="F103" s="184">
        <v>11</v>
      </c>
      <c r="G103" s="184">
        <v>12</v>
      </c>
      <c r="H103" s="32">
        <v>13</v>
      </c>
      <c r="I103" s="32">
        <v>13</v>
      </c>
      <c r="J103" s="32"/>
      <c r="K103" s="32">
        <f t="shared" si="30"/>
        <v>38</v>
      </c>
      <c r="L103" s="32"/>
      <c r="M103" s="32" t="s">
        <v>1233</v>
      </c>
      <c r="N103" s="32">
        <f t="shared" si="31"/>
        <v>37.990499999999997</v>
      </c>
      <c r="O103" s="32">
        <f t="shared" si="32"/>
        <v>5</v>
      </c>
      <c r="P103" s="32">
        <f t="shared" ca="1" si="33"/>
        <v>0</v>
      </c>
      <c r="Q103" s="33" t="s">
        <v>1149</v>
      </c>
      <c r="R103" s="175">
        <f t="shared" si="34"/>
        <v>0</v>
      </c>
      <c r="S103" s="34">
        <f>-SUMPRODUCT((Q$8:Q102=Q103)*(T$8:T102=T103))</f>
        <v>0</v>
      </c>
      <c r="T103" s="35">
        <f t="shared" si="35"/>
        <v>38.014420000000001</v>
      </c>
      <c r="U103" s="32">
        <v>13</v>
      </c>
      <c r="V103" s="32">
        <v>13</v>
      </c>
      <c r="W103" s="184">
        <v>12</v>
      </c>
      <c r="X103" s="184">
        <v>11</v>
      </c>
      <c r="Y103" s="186">
        <v>10</v>
      </c>
      <c r="Z103" s="32"/>
      <c r="AB103" s="36">
        <v>0</v>
      </c>
      <c r="AC103" s="36">
        <v>0</v>
      </c>
      <c r="AD103" s="36">
        <v>0</v>
      </c>
      <c r="AE103" s="36">
        <v>0</v>
      </c>
      <c r="AF103" s="37">
        <v>4</v>
      </c>
      <c r="AG103" s="38">
        <v>36.002341999999999</v>
      </c>
      <c r="AH103" s="39">
        <v>13</v>
      </c>
      <c r="AI103" s="32">
        <v>38</v>
      </c>
      <c r="AJ103" s="25"/>
      <c r="AK103" s="25" t="s">
        <v>1232</v>
      </c>
      <c r="AL103" s="25" t="s">
        <v>1233</v>
      </c>
    </row>
    <row r="104" spans="1:38">
      <c r="A104" s="1">
        <v>4</v>
      </c>
      <c r="B104" s="40">
        <f t="shared" si="29"/>
        <v>4</v>
      </c>
      <c r="C104" s="1" t="s">
        <v>1153</v>
      </c>
      <c r="D104" s="166" t="s">
        <v>1113</v>
      </c>
      <c r="E104" s="186">
        <v>12</v>
      </c>
      <c r="F104" s="184">
        <v>8</v>
      </c>
      <c r="G104" s="184">
        <v>9</v>
      </c>
      <c r="H104" s="32"/>
      <c r="I104" s="32">
        <v>12</v>
      </c>
      <c r="J104" s="32"/>
      <c r="K104" s="32">
        <f t="shared" si="30"/>
        <v>33</v>
      </c>
      <c r="L104" s="32"/>
      <c r="M104" s="32"/>
      <c r="N104" s="32">
        <f t="shared" si="31"/>
        <v>32.990400000000001</v>
      </c>
      <c r="O104" s="32">
        <f t="shared" si="32"/>
        <v>4</v>
      </c>
      <c r="P104" s="32">
        <f t="shared" ca="1" si="33"/>
        <v>0</v>
      </c>
      <c r="Q104" s="33" t="s">
        <v>1149</v>
      </c>
      <c r="R104" s="175">
        <f t="shared" si="34"/>
        <v>0</v>
      </c>
      <c r="S104" s="34">
        <f>-SUMPRODUCT((Q$8:Q103=Q104)*(T$8:T103=T104))</f>
        <v>0</v>
      </c>
      <c r="T104" s="35">
        <f t="shared" si="35"/>
        <v>33.013289999999998</v>
      </c>
      <c r="U104" s="186">
        <v>12</v>
      </c>
      <c r="V104" s="32">
        <v>12</v>
      </c>
      <c r="W104" s="184">
        <v>9</v>
      </c>
      <c r="X104" s="184">
        <v>8</v>
      </c>
      <c r="Y104" s="32"/>
      <c r="Z104" s="32"/>
      <c r="AB104" s="36">
        <v>0</v>
      </c>
      <c r="AC104" s="36">
        <v>0</v>
      </c>
      <c r="AD104" s="36">
        <v>0</v>
      </c>
      <c r="AE104" s="36">
        <v>0</v>
      </c>
      <c r="AF104" s="37">
        <v>3</v>
      </c>
      <c r="AG104" s="38">
        <v>29.003690000000002</v>
      </c>
      <c r="AH104" s="39">
        <v>12</v>
      </c>
      <c r="AI104" s="32">
        <v>33</v>
      </c>
      <c r="AJ104" s="25"/>
      <c r="AK104" s="25"/>
      <c r="AL104" s="25"/>
    </row>
    <row r="105" spans="1:38">
      <c r="A105" s="1">
        <v>5</v>
      </c>
      <c r="B105" s="40">
        <f t="shared" si="29"/>
        <v>5</v>
      </c>
      <c r="C105" s="1" t="s">
        <v>1234</v>
      </c>
      <c r="D105" s="166" t="s">
        <v>201</v>
      </c>
      <c r="E105" s="186"/>
      <c r="F105" s="184">
        <v>9</v>
      </c>
      <c r="G105" s="184">
        <v>10</v>
      </c>
      <c r="H105" s="32">
        <v>12</v>
      </c>
      <c r="I105" s="32"/>
      <c r="J105" s="32"/>
      <c r="K105" s="32">
        <f t="shared" si="30"/>
        <v>31</v>
      </c>
      <c r="L105" s="32"/>
      <c r="M105" s="32"/>
      <c r="N105" s="32">
        <f t="shared" si="31"/>
        <v>30.990300000000001</v>
      </c>
      <c r="O105" s="32">
        <f t="shared" si="32"/>
        <v>3</v>
      </c>
      <c r="P105" s="32">
        <f t="shared" ca="1" si="33"/>
        <v>0</v>
      </c>
      <c r="Q105" s="33" t="s">
        <v>1149</v>
      </c>
      <c r="R105" s="175">
        <f t="shared" si="34"/>
        <v>0</v>
      </c>
      <c r="S105" s="34">
        <f>-SUMPRODUCT((Q$8:Q104=Q105)*(T$8:T104=T105))</f>
        <v>0</v>
      </c>
      <c r="T105" s="35">
        <f t="shared" si="35"/>
        <v>31.013089999999998</v>
      </c>
      <c r="U105" s="32">
        <v>12</v>
      </c>
      <c r="V105" s="184">
        <v>10</v>
      </c>
      <c r="W105" s="184">
        <v>9</v>
      </c>
      <c r="X105" s="186"/>
      <c r="Y105" s="32"/>
      <c r="Z105" s="32"/>
      <c r="AB105" s="36">
        <v>0</v>
      </c>
      <c r="AC105" s="36">
        <v>0</v>
      </c>
      <c r="AD105" s="36">
        <v>0</v>
      </c>
      <c r="AE105" s="36">
        <v>0</v>
      </c>
      <c r="AF105" s="37">
        <v>3</v>
      </c>
      <c r="AG105" s="38">
        <v>30.99203</v>
      </c>
      <c r="AH105" s="39">
        <v>12</v>
      </c>
      <c r="AI105" s="32">
        <v>34</v>
      </c>
      <c r="AJ105" s="25"/>
      <c r="AK105" s="25"/>
      <c r="AL105" s="25"/>
    </row>
    <row r="106" spans="1:38">
      <c r="A106" s="1">
        <v>6</v>
      </c>
      <c r="B106" s="40">
        <f t="shared" si="29"/>
        <v>6</v>
      </c>
      <c r="C106" s="1" t="s">
        <v>1235</v>
      </c>
      <c r="D106" s="166" t="s">
        <v>38</v>
      </c>
      <c r="E106" s="186">
        <v>9</v>
      </c>
      <c r="F106" s="184">
        <v>10</v>
      </c>
      <c r="G106" s="184"/>
      <c r="H106" s="32">
        <v>11</v>
      </c>
      <c r="I106" s="32"/>
      <c r="J106" s="32"/>
      <c r="K106" s="32">
        <f t="shared" si="30"/>
        <v>30</v>
      </c>
      <c r="L106" s="32"/>
      <c r="M106" s="32"/>
      <c r="N106" s="32">
        <f t="shared" si="31"/>
        <v>29.990200000000002</v>
      </c>
      <c r="O106" s="32">
        <f t="shared" si="32"/>
        <v>3</v>
      </c>
      <c r="P106" s="32">
        <f t="shared" ca="1" si="33"/>
        <v>0</v>
      </c>
      <c r="Q106" s="33" t="s">
        <v>1149</v>
      </c>
      <c r="R106" s="175">
        <f t="shared" si="34"/>
        <v>0</v>
      </c>
      <c r="S106" s="34">
        <f>-SUMPRODUCT((Q$8:Q105=Q106)*(T$8:T105=T106))</f>
        <v>0</v>
      </c>
      <c r="T106" s="35">
        <f t="shared" si="35"/>
        <v>30.012090000000001</v>
      </c>
      <c r="U106" s="32">
        <v>11</v>
      </c>
      <c r="V106" s="184">
        <v>10</v>
      </c>
      <c r="W106" s="186">
        <v>9</v>
      </c>
      <c r="X106" s="184"/>
      <c r="Y106" s="32"/>
      <c r="Z106" s="32"/>
      <c r="AB106" s="36">
        <v>0</v>
      </c>
      <c r="AC106" s="36">
        <v>0</v>
      </c>
      <c r="AD106" s="36">
        <v>0</v>
      </c>
      <c r="AE106" s="36">
        <v>0</v>
      </c>
      <c r="AF106" s="37">
        <v>3</v>
      </c>
      <c r="AG106" s="38">
        <v>30.001010000000001</v>
      </c>
      <c r="AH106" s="39">
        <v>11</v>
      </c>
      <c r="AI106" s="32">
        <v>32</v>
      </c>
      <c r="AJ106" s="25"/>
      <c r="AK106" s="25"/>
      <c r="AL106" s="25"/>
    </row>
    <row r="107" spans="1:38">
      <c r="A107" s="1">
        <v>7</v>
      </c>
      <c r="B107" s="40">
        <f t="shared" si="29"/>
        <v>7</v>
      </c>
      <c r="C107" s="1" t="s">
        <v>1236</v>
      </c>
      <c r="D107" s="166" t="s">
        <v>57</v>
      </c>
      <c r="E107" s="186">
        <v>14</v>
      </c>
      <c r="F107" s="184">
        <v>14</v>
      </c>
      <c r="G107" s="184"/>
      <c r="H107" s="32"/>
      <c r="I107" s="32"/>
      <c r="J107" s="32"/>
      <c r="K107" s="32">
        <f t="shared" si="30"/>
        <v>28</v>
      </c>
      <c r="L107" s="32"/>
      <c r="M107" s="32"/>
      <c r="N107" s="32">
        <f t="shared" si="31"/>
        <v>27.990100000000002</v>
      </c>
      <c r="O107" s="32">
        <f t="shared" si="32"/>
        <v>2</v>
      </c>
      <c r="P107" s="32">
        <f t="shared" ca="1" si="33"/>
        <v>0</v>
      </c>
      <c r="Q107" s="33" t="s">
        <v>1149</v>
      </c>
      <c r="R107" s="175">
        <f t="shared" si="34"/>
        <v>0</v>
      </c>
      <c r="S107" s="34">
        <f>-SUMPRODUCT((Q$8:Q106=Q107)*(T$8:T106=T107))</f>
        <v>0</v>
      </c>
      <c r="T107" s="35">
        <f t="shared" si="35"/>
        <v>28.0154</v>
      </c>
      <c r="U107" s="186">
        <v>14</v>
      </c>
      <c r="V107" s="184">
        <v>14</v>
      </c>
      <c r="W107" s="184"/>
      <c r="X107" s="32"/>
      <c r="Y107" s="32"/>
      <c r="Z107" s="32"/>
      <c r="AB107" s="36">
        <v>0</v>
      </c>
      <c r="AC107" s="36">
        <v>0</v>
      </c>
      <c r="AD107" s="36">
        <v>0</v>
      </c>
      <c r="AE107" s="36">
        <v>0</v>
      </c>
      <c r="AF107" s="37">
        <v>2</v>
      </c>
      <c r="AG107" s="38">
        <v>28.0061</v>
      </c>
      <c r="AH107" s="39">
        <v>14</v>
      </c>
      <c r="AI107" s="32">
        <v>42</v>
      </c>
      <c r="AJ107" s="25"/>
      <c r="AK107" s="25" t="s">
        <v>1232</v>
      </c>
      <c r="AL107" s="25" t="s">
        <v>1233</v>
      </c>
    </row>
    <row r="108" spans="1:38">
      <c r="A108" s="1">
        <v>8</v>
      </c>
      <c r="B108" s="40">
        <f t="shared" si="29"/>
        <v>8</v>
      </c>
      <c r="C108" s="1" t="s">
        <v>1237</v>
      </c>
      <c r="D108" s="166" t="s">
        <v>19</v>
      </c>
      <c r="E108" s="186">
        <v>13</v>
      </c>
      <c r="F108" s="184"/>
      <c r="G108" s="184">
        <v>14</v>
      </c>
      <c r="H108" s="32"/>
      <c r="I108" s="32"/>
      <c r="J108" s="32"/>
      <c r="K108" s="32">
        <f t="shared" si="30"/>
        <v>27</v>
      </c>
      <c r="L108" s="32"/>
      <c r="M108" s="32"/>
      <c r="N108" s="32">
        <f t="shared" si="31"/>
        <v>26.99</v>
      </c>
      <c r="O108" s="32">
        <f t="shared" si="32"/>
        <v>2</v>
      </c>
      <c r="P108" s="32">
        <f t="shared" ca="1" si="33"/>
        <v>0</v>
      </c>
      <c r="Q108" s="33" t="s">
        <v>1149</v>
      </c>
      <c r="R108" s="175">
        <f t="shared" si="34"/>
        <v>0</v>
      </c>
      <c r="S108" s="34">
        <f>-SUMPRODUCT((Q$8:Q107=Q108)*(T$8:T107=T108))</f>
        <v>0</v>
      </c>
      <c r="T108" s="35">
        <f t="shared" si="35"/>
        <v>27.0153</v>
      </c>
      <c r="U108" s="184">
        <v>14</v>
      </c>
      <c r="V108" s="186">
        <v>13</v>
      </c>
      <c r="W108" s="184"/>
      <c r="X108" s="32"/>
      <c r="Y108" s="32"/>
      <c r="Z108" s="32"/>
      <c r="AB108" s="36">
        <v>0</v>
      </c>
      <c r="AC108" s="36">
        <v>0</v>
      </c>
      <c r="AD108" s="36">
        <v>0</v>
      </c>
      <c r="AE108" s="36">
        <v>0</v>
      </c>
      <c r="AF108" s="37">
        <v>2</v>
      </c>
      <c r="AG108" s="38">
        <v>27.003740000000001</v>
      </c>
      <c r="AH108" s="39">
        <v>14</v>
      </c>
      <c r="AI108" s="32">
        <v>41</v>
      </c>
      <c r="AJ108" s="25"/>
      <c r="AK108" s="25" t="s">
        <v>1232</v>
      </c>
      <c r="AL108" s="25" t="s">
        <v>1233</v>
      </c>
    </row>
    <row r="109" spans="1:38">
      <c r="A109" s="1">
        <v>9</v>
      </c>
      <c r="B109" s="40" t="str">
        <f t="shared" si="29"/>
        <v xml:space="preserve">=9 </v>
      </c>
      <c r="C109" s="1" t="s">
        <v>1238</v>
      </c>
      <c r="D109" s="166" t="s">
        <v>38</v>
      </c>
      <c r="E109" s="186"/>
      <c r="F109" s="184">
        <v>13</v>
      </c>
      <c r="G109" s="184"/>
      <c r="H109" s="32"/>
      <c r="I109" s="32"/>
      <c r="J109" s="32"/>
      <c r="K109" s="32">
        <f t="shared" si="30"/>
        <v>13</v>
      </c>
      <c r="L109" s="32"/>
      <c r="M109" s="32"/>
      <c r="N109" s="32">
        <f t="shared" si="31"/>
        <v>12.9899</v>
      </c>
      <c r="O109" s="32">
        <f t="shared" si="32"/>
        <v>1</v>
      </c>
      <c r="P109" s="32">
        <f t="shared" ca="1" si="33"/>
        <v>0</v>
      </c>
      <c r="Q109" s="33" t="s">
        <v>1149</v>
      </c>
      <c r="R109" s="175">
        <f t="shared" si="34"/>
        <v>0</v>
      </c>
      <c r="S109" s="34">
        <f>-SUMPRODUCT((Q$8:Q108=Q109)*(T$8:T108=T109))</f>
        <v>0</v>
      </c>
      <c r="T109" s="35">
        <f t="shared" si="35"/>
        <v>13.013</v>
      </c>
      <c r="U109" s="184">
        <v>13</v>
      </c>
      <c r="V109" s="186"/>
      <c r="W109" s="184"/>
      <c r="X109" s="32"/>
      <c r="Y109" s="32"/>
      <c r="Z109" s="32"/>
      <c r="AB109" s="36">
        <v>0</v>
      </c>
      <c r="AC109" s="36">
        <v>0</v>
      </c>
      <c r="AD109" s="36">
        <v>0</v>
      </c>
      <c r="AE109" s="36">
        <v>0</v>
      </c>
      <c r="AF109" s="37">
        <v>1</v>
      </c>
      <c r="AG109" s="38">
        <v>12.991800000000001</v>
      </c>
      <c r="AH109" s="39">
        <v>13</v>
      </c>
      <c r="AI109" s="32">
        <v>26</v>
      </c>
      <c r="AJ109" s="25"/>
      <c r="AK109" s="25"/>
      <c r="AL109" s="25"/>
    </row>
    <row r="110" spans="1:38">
      <c r="A110" s="1">
        <v>10</v>
      </c>
      <c r="B110" s="40" t="str">
        <f t="shared" si="29"/>
        <v xml:space="preserve">=9 </v>
      </c>
      <c r="C110" s="1" t="s">
        <v>1239</v>
      </c>
      <c r="D110" s="166" t="s">
        <v>201</v>
      </c>
      <c r="E110" s="186"/>
      <c r="F110" s="184"/>
      <c r="G110" s="184">
        <v>13</v>
      </c>
      <c r="H110" s="32"/>
      <c r="I110" s="32"/>
      <c r="J110" s="32"/>
      <c r="K110" s="32">
        <f t="shared" si="30"/>
        <v>13</v>
      </c>
      <c r="L110" s="32"/>
      <c r="M110" s="32"/>
      <c r="N110" s="32">
        <f t="shared" si="31"/>
        <v>12.989800000000001</v>
      </c>
      <c r="O110" s="32">
        <f t="shared" si="32"/>
        <v>1</v>
      </c>
      <c r="P110" s="32">
        <f t="shared" ca="1" si="33"/>
        <v>0</v>
      </c>
      <c r="Q110" s="33" t="s">
        <v>1149</v>
      </c>
      <c r="R110" s="175">
        <f t="shared" si="34"/>
        <v>0</v>
      </c>
      <c r="S110" s="34">
        <f>-SUMPRODUCT((Q$8:Q109=Q110)*(T$8:T109=T110))</f>
        <v>-1</v>
      </c>
      <c r="T110" s="35">
        <f t="shared" si="35"/>
        <v>13.013</v>
      </c>
      <c r="U110" s="184">
        <v>13</v>
      </c>
      <c r="V110" s="186"/>
      <c r="W110" s="184"/>
      <c r="X110" s="32"/>
      <c r="Y110" s="32"/>
      <c r="Z110" s="32"/>
      <c r="AB110" s="36">
        <v>0</v>
      </c>
      <c r="AC110" s="36">
        <v>0</v>
      </c>
      <c r="AD110" s="36">
        <v>0</v>
      </c>
      <c r="AE110" s="36">
        <v>0</v>
      </c>
      <c r="AF110" s="37">
        <v>1</v>
      </c>
      <c r="AG110" s="38">
        <v>12.99053</v>
      </c>
      <c r="AH110" s="39">
        <v>13</v>
      </c>
      <c r="AI110" s="32">
        <v>26</v>
      </c>
      <c r="AJ110" s="25"/>
      <c r="AK110" s="25"/>
      <c r="AL110" s="25"/>
    </row>
    <row r="111" spans="1:38">
      <c r="A111" s="1">
        <v>11</v>
      </c>
      <c r="B111" s="40">
        <f t="shared" si="29"/>
        <v>11</v>
      </c>
      <c r="C111" s="1" t="s">
        <v>1240</v>
      </c>
      <c r="D111" s="166" t="s">
        <v>38</v>
      </c>
      <c r="E111" s="186">
        <v>8</v>
      </c>
      <c r="F111" s="184"/>
      <c r="G111" s="184"/>
      <c r="H111" s="32"/>
      <c r="I111" s="32"/>
      <c r="J111" s="32"/>
      <c r="K111" s="32">
        <f t="shared" si="30"/>
        <v>8</v>
      </c>
      <c r="L111" s="32"/>
      <c r="M111" s="32"/>
      <c r="N111" s="32">
        <f t="shared" si="31"/>
        <v>7.9897</v>
      </c>
      <c r="O111" s="32">
        <f t="shared" si="32"/>
        <v>1</v>
      </c>
      <c r="P111" s="32">
        <f t="shared" ca="1" si="33"/>
        <v>0</v>
      </c>
      <c r="Q111" s="33" t="s">
        <v>1149</v>
      </c>
      <c r="R111" s="175">
        <f t="shared" si="34"/>
        <v>0</v>
      </c>
      <c r="S111" s="34">
        <f>-SUMPRODUCT((Q$8:Q110=Q111)*(T$8:T110=T111))</f>
        <v>0</v>
      </c>
      <c r="T111" s="35">
        <f t="shared" si="35"/>
        <v>8.0079999999999991</v>
      </c>
      <c r="U111" s="186">
        <v>8</v>
      </c>
      <c r="V111" s="184"/>
      <c r="W111" s="184"/>
      <c r="X111" s="32"/>
      <c r="Y111" s="32"/>
      <c r="Z111" s="32"/>
      <c r="AB111" s="36">
        <v>0</v>
      </c>
      <c r="AC111" s="36">
        <v>0</v>
      </c>
      <c r="AD111" s="36">
        <v>0</v>
      </c>
      <c r="AE111" s="36">
        <v>0</v>
      </c>
      <c r="AF111" s="37">
        <v>1</v>
      </c>
      <c r="AG111" s="38">
        <v>7.9983000000000004</v>
      </c>
      <c r="AH111" s="39">
        <v>8</v>
      </c>
      <c r="AI111" s="32">
        <v>16</v>
      </c>
      <c r="AJ111" s="25"/>
      <c r="AK111" s="25"/>
      <c r="AL111" s="25"/>
    </row>
    <row r="112" spans="1:38" ht="3" customHeight="1">
      <c r="A112" s="166"/>
      <c r="B112" s="166"/>
      <c r="C112" s="166"/>
      <c r="D112" s="166"/>
      <c r="E112" s="186"/>
      <c r="F112" s="186"/>
      <c r="G112" s="184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5"/>
      <c r="T112" s="35"/>
      <c r="U112" s="32"/>
      <c r="V112" s="32"/>
      <c r="W112" s="32"/>
      <c r="X112" s="32"/>
      <c r="Y112" s="32"/>
      <c r="Z112" s="32"/>
      <c r="AF112" s="1"/>
      <c r="AG112" s="39"/>
      <c r="AH112" s="25"/>
      <c r="AI112" s="25"/>
      <c r="AJ112" s="25"/>
      <c r="AK112" s="25"/>
      <c r="AL112" s="25"/>
    </row>
    <row r="113" spans="1:38" ht="15">
      <c r="D113" s="179"/>
      <c r="E113" s="183"/>
      <c r="F113" s="184"/>
      <c r="G113" s="184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5"/>
      <c r="T113" s="35"/>
      <c r="U113" s="32"/>
      <c r="V113" s="32"/>
      <c r="W113" s="32"/>
      <c r="X113" s="32"/>
      <c r="Y113" s="32"/>
      <c r="Z113" s="32"/>
      <c r="AF113" s="1"/>
      <c r="AG113" s="39"/>
      <c r="AH113" s="25"/>
      <c r="AI113" s="25"/>
      <c r="AJ113" s="25"/>
      <c r="AK113" s="25"/>
      <c r="AL113" s="25"/>
    </row>
    <row r="114" spans="1:38" ht="15">
      <c r="A114" s="26" t="s">
        <v>1154</v>
      </c>
      <c r="B114" s="26" t="s">
        <v>1154</v>
      </c>
      <c r="D114" s="179"/>
      <c r="E114" s="183"/>
      <c r="F114" s="184"/>
      <c r="G114" s="184"/>
      <c r="H114" s="32"/>
      <c r="I114" s="32"/>
      <c r="J114" s="32"/>
      <c r="K114" s="32"/>
      <c r="L114" s="32"/>
      <c r="M114" s="32"/>
      <c r="N114" s="32"/>
      <c r="O114" s="32"/>
      <c r="P114" s="32"/>
      <c r="Q114" s="56" t="str">
        <f>A114</f>
        <v>U15G</v>
      </c>
      <c r="R114" s="32"/>
      <c r="S114" s="35"/>
      <c r="T114" s="35"/>
      <c r="U114" s="32"/>
      <c r="V114" s="32"/>
      <c r="W114" s="32"/>
      <c r="X114" s="32"/>
      <c r="Y114" s="32"/>
      <c r="Z114" s="32"/>
      <c r="AF114" s="1"/>
      <c r="AG114" s="39"/>
      <c r="AH114" s="25"/>
      <c r="AI114" s="25"/>
      <c r="AJ114" s="25">
        <v>40</v>
      </c>
      <c r="AK114" s="25">
        <v>38</v>
      </c>
      <c r="AL114" s="25">
        <v>36</v>
      </c>
    </row>
    <row r="115" spans="1:38">
      <c r="A115" s="1">
        <v>1</v>
      </c>
      <c r="B115" s="40">
        <f t="shared" ref="B115:B125" si="36">IF(OR(S115&lt;0,S116&lt;0),"="&amp;A115+S115&amp;" ",A115)</f>
        <v>1</v>
      </c>
      <c r="C115" s="1" t="s">
        <v>1156</v>
      </c>
      <c r="D115" s="166" t="s">
        <v>19</v>
      </c>
      <c r="E115" s="186"/>
      <c r="F115" s="184"/>
      <c r="G115" s="184">
        <v>14</v>
      </c>
      <c r="H115" s="32">
        <v>15</v>
      </c>
      <c r="I115" s="32">
        <v>14</v>
      </c>
      <c r="J115" s="32"/>
      <c r="K115" s="32">
        <f t="shared" ref="K115:K125" si="37">IFERROR(LARGE(E115:J115,1),0)+IF($D$7&gt;=2,IFERROR(LARGE(E115:J115,2),0),0)+IF($D$7&gt;=3,IFERROR(LARGE(E115:J115,3),0),0)+IF($D$7&gt;=4,IFERROR(LARGE(E115:J115,4),0),0)+IF($D$7&gt;=5,IFERROR(LARGE(E115:J115,5),0),0)+IF($D$7&gt;=6,IFERROR(LARGE(E115:J115,6),0),0)</f>
        <v>43</v>
      </c>
      <c r="L115" s="32"/>
      <c r="M115" s="32" t="s">
        <v>1241</v>
      </c>
      <c r="N115" s="32">
        <f t="shared" ref="N115:N125" si="38">K115-(ROW(K115)-ROW(K$8))/10000</f>
        <v>42.9893</v>
      </c>
      <c r="O115" s="32">
        <f t="shared" ref="O115:O125" si="39">COUNT(E115:J115)</f>
        <v>3</v>
      </c>
      <c r="P115" s="32">
        <f t="shared" ref="P115:P125" ca="1" si="40">IF(AND(O115=1,OFFSET(D115,0,P$3)&gt;0),"Y",0)</f>
        <v>0</v>
      </c>
      <c r="Q115" s="33" t="s">
        <v>1154</v>
      </c>
      <c r="R115" s="175">
        <f t="shared" ref="R115:R125" si="41">1-(Q115=Q114)</f>
        <v>0</v>
      </c>
      <c r="S115" s="34">
        <f>-SUMPRODUCT((Q$8:Q114=Q115)*(T$8:T114=T115))</f>
        <v>0</v>
      </c>
      <c r="T115" s="35">
        <f t="shared" ref="T115:T125" si="42">K115+SUMPRODUCT(U$6:Z$6,U115:Z115)</f>
        <v>43.016539999999999</v>
      </c>
      <c r="U115" s="32">
        <v>15</v>
      </c>
      <c r="V115" s="184">
        <v>14</v>
      </c>
      <c r="W115" s="32">
        <v>14</v>
      </c>
      <c r="X115" s="186"/>
      <c r="Y115" s="184"/>
      <c r="Z115" s="32"/>
      <c r="AB115" s="36">
        <v>0</v>
      </c>
      <c r="AC115" s="36">
        <v>0</v>
      </c>
      <c r="AD115" s="36">
        <v>0</v>
      </c>
      <c r="AE115" s="36">
        <v>0</v>
      </c>
      <c r="AF115" s="37">
        <v>2</v>
      </c>
      <c r="AG115" s="38">
        <v>28.989564000000001</v>
      </c>
      <c r="AH115" s="39">
        <v>15</v>
      </c>
      <c r="AI115" s="32">
        <v>44</v>
      </c>
      <c r="AJ115" s="25" t="s">
        <v>1241</v>
      </c>
      <c r="AK115" s="25" t="s">
        <v>1242</v>
      </c>
      <c r="AL115" s="25" t="s">
        <v>1243</v>
      </c>
    </row>
    <row r="116" spans="1:38">
      <c r="A116" s="1">
        <v>2</v>
      </c>
      <c r="B116" s="40">
        <f t="shared" si="36"/>
        <v>2</v>
      </c>
      <c r="C116" s="1" t="s">
        <v>1157</v>
      </c>
      <c r="D116" s="166" t="s">
        <v>19</v>
      </c>
      <c r="E116" s="186"/>
      <c r="F116" s="184"/>
      <c r="G116" s="184">
        <v>15</v>
      </c>
      <c r="H116" s="32">
        <v>14</v>
      </c>
      <c r="I116" s="32">
        <v>13</v>
      </c>
      <c r="J116" s="32"/>
      <c r="K116" s="32">
        <f t="shared" si="37"/>
        <v>42</v>
      </c>
      <c r="L116" s="32"/>
      <c r="M116" s="32" t="s">
        <v>1242</v>
      </c>
      <c r="N116" s="32">
        <f t="shared" si="38"/>
        <v>41.989199999999997</v>
      </c>
      <c r="O116" s="32">
        <f t="shared" si="39"/>
        <v>3</v>
      </c>
      <c r="P116" s="32">
        <f t="shared" ca="1" si="40"/>
        <v>0</v>
      </c>
      <c r="Q116" s="33" t="s">
        <v>1154</v>
      </c>
      <c r="R116" s="175">
        <f t="shared" si="41"/>
        <v>0</v>
      </c>
      <c r="S116" s="34">
        <f>-SUMPRODUCT((Q$8:Q115=Q116)*(T$8:T115=T116))</f>
        <v>0</v>
      </c>
      <c r="T116" s="35">
        <f t="shared" si="42"/>
        <v>42.016530000000003</v>
      </c>
      <c r="U116" s="184">
        <v>15</v>
      </c>
      <c r="V116" s="32">
        <v>14</v>
      </c>
      <c r="W116" s="32">
        <v>13</v>
      </c>
      <c r="X116" s="186"/>
      <c r="Y116" s="184"/>
      <c r="Z116" s="32"/>
      <c r="AB116" s="36">
        <v>0</v>
      </c>
      <c r="AC116" s="36">
        <v>0</v>
      </c>
      <c r="AD116" s="36">
        <v>0</v>
      </c>
      <c r="AE116" s="36">
        <v>0</v>
      </c>
      <c r="AF116" s="37">
        <v>2</v>
      </c>
      <c r="AG116" s="38">
        <v>28.989664000000001</v>
      </c>
      <c r="AH116" s="39">
        <v>15</v>
      </c>
      <c r="AI116" s="32">
        <v>44</v>
      </c>
      <c r="AJ116" s="25" t="s">
        <v>1241</v>
      </c>
      <c r="AK116" s="25" t="s">
        <v>1242</v>
      </c>
      <c r="AL116" s="25" t="s">
        <v>1243</v>
      </c>
    </row>
    <row r="117" spans="1:38">
      <c r="A117" s="1">
        <v>3</v>
      </c>
      <c r="B117" s="40">
        <f t="shared" si="36"/>
        <v>3</v>
      </c>
      <c r="C117" s="1" t="s">
        <v>1161</v>
      </c>
      <c r="D117" s="166" t="s">
        <v>19</v>
      </c>
      <c r="E117" s="186">
        <v>13</v>
      </c>
      <c r="F117" s="184">
        <v>15</v>
      </c>
      <c r="G117" s="184"/>
      <c r="H117" s="32">
        <v>12</v>
      </c>
      <c r="I117" s="32">
        <v>9</v>
      </c>
      <c r="J117" s="32"/>
      <c r="K117" s="32">
        <f t="shared" si="37"/>
        <v>40</v>
      </c>
      <c r="L117" s="32"/>
      <c r="M117" s="32" t="s">
        <v>1243</v>
      </c>
      <c r="N117" s="32">
        <f t="shared" si="38"/>
        <v>39.989100000000001</v>
      </c>
      <c r="O117" s="32">
        <f t="shared" si="39"/>
        <v>4</v>
      </c>
      <c r="P117" s="32">
        <f t="shared" ca="1" si="40"/>
        <v>0</v>
      </c>
      <c r="Q117" s="33" t="s">
        <v>1154</v>
      </c>
      <c r="R117" s="175">
        <f t="shared" si="41"/>
        <v>0</v>
      </c>
      <c r="S117" s="34">
        <f>-SUMPRODUCT((Q$8:Q116=Q117)*(T$8:T116=T117))</f>
        <v>0</v>
      </c>
      <c r="T117" s="35">
        <f t="shared" si="42"/>
        <v>40.016419999999997</v>
      </c>
      <c r="U117" s="184">
        <v>15</v>
      </c>
      <c r="V117" s="186">
        <v>13</v>
      </c>
      <c r="W117" s="32">
        <v>12</v>
      </c>
      <c r="X117" s="32">
        <v>9</v>
      </c>
      <c r="Y117" s="184"/>
      <c r="Z117" s="32"/>
      <c r="AB117" s="36">
        <v>0</v>
      </c>
      <c r="AC117" s="36">
        <v>0</v>
      </c>
      <c r="AD117" s="36">
        <v>0</v>
      </c>
      <c r="AE117" s="36">
        <v>0</v>
      </c>
      <c r="AF117" s="37">
        <v>3</v>
      </c>
      <c r="AG117" s="38">
        <v>40.004519999999999</v>
      </c>
      <c r="AH117" s="39">
        <v>15</v>
      </c>
      <c r="AI117" s="32">
        <v>43</v>
      </c>
      <c r="AJ117" s="25" t="s">
        <v>1241</v>
      </c>
      <c r="AK117" s="25" t="s">
        <v>1242</v>
      </c>
      <c r="AL117" s="25" t="s">
        <v>1243</v>
      </c>
    </row>
    <row r="118" spans="1:38">
      <c r="A118" s="1">
        <v>4</v>
      </c>
      <c r="B118" s="40">
        <f t="shared" si="36"/>
        <v>4</v>
      </c>
      <c r="C118" s="1" t="s">
        <v>1158</v>
      </c>
      <c r="D118" s="166" t="s">
        <v>57</v>
      </c>
      <c r="E118" s="186">
        <v>14</v>
      </c>
      <c r="F118" s="184"/>
      <c r="G118" s="184"/>
      <c r="H118" s="32">
        <v>13</v>
      </c>
      <c r="I118" s="32">
        <v>12</v>
      </c>
      <c r="J118" s="32"/>
      <c r="K118" s="32">
        <f t="shared" si="37"/>
        <v>39</v>
      </c>
      <c r="L118" s="32"/>
      <c r="M118" s="32"/>
      <c r="N118" s="32">
        <f t="shared" si="38"/>
        <v>38.988999999999997</v>
      </c>
      <c r="O118" s="32">
        <f t="shared" si="39"/>
        <v>3</v>
      </c>
      <c r="P118" s="32">
        <f t="shared" ca="1" si="40"/>
        <v>0</v>
      </c>
      <c r="Q118" s="33" t="s">
        <v>1154</v>
      </c>
      <c r="R118" s="175">
        <f t="shared" si="41"/>
        <v>0</v>
      </c>
      <c r="S118" s="34">
        <f>-SUMPRODUCT((Q$8:Q117=Q118)*(T$8:T117=T118))</f>
        <v>0</v>
      </c>
      <c r="T118" s="35">
        <f t="shared" si="42"/>
        <v>39.015419999999999</v>
      </c>
      <c r="U118" s="186">
        <v>14</v>
      </c>
      <c r="V118" s="32">
        <v>13</v>
      </c>
      <c r="W118" s="32">
        <v>12</v>
      </c>
      <c r="X118" s="184"/>
      <c r="Y118" s="184"/>
      <c r="Z118" s="32"/>
      <c r="AB118" s="36">
        <v>0</v>
      </c>
      <c r="AC118" s="36">
        <v>0</v>
      </c>
      <c r="AD118" s="36">
        <v>0</v>
      </c>
      <c r="AE118" s="36">
        <v>0</v>
      </c>
      <c r="AF118" s="37">
        <v>2</v>
      </c>
      <c r="AG118" s="38">
        <v>27.003429999999998</v>
      </c>
      <c r="AH118" s="39">
        <v>14</v>
      </c>
      <c r="AI118" s="32">
        <v>41</v>
      </c>
      <c r="AJ118" s="25" t="s">
        <v>1241</v>
      </c>
      <c r="AK118" s="25" t="s">
        <v>1242</v>
      </c>
      <c r="AL118" s="25" t="s">
        <v>1243</v>
      </c>
    </row>
    <row r="119" spans="1:38">
      <c r="A119" s="1">
        <v>5</v>
      </c>
      <c r="B119" s="40">
        <f t="shared" si="36"/>
        <v>5</v>
      </c>
      <c r="C119" s="1" t="s">
        <v>1160</v>
      </c>
      <c r="D119" s="166" t="s">
        <v>84</v>
      </c>
      <c r="E119" s="186">
        <v>12</v>
      </c>
      <c r="F119" s="184">
        <v>13</v>
      </c>
      <c r="G119" s="184">
        <v>13</v>
      </c>
      <c r="H119" s="32">
        <v>10</v>
      </c>
      <c r="I119" s="32">
        <v>10</v>
      </c>
      <c r="J119" s="32"/>
      <c r="K119" s="32">
        <f t="shared" si="37"/>
        <v>38</v>
      </c>
      <c r="L119" s="32"/>
      <c r="M119" s="32"/>
      <c r="N119" s="32">
        <f t="shared" si="38"/>
        <v>37.988900000000001</v>
      </c>
      <c r="O119" s="32">
        <f t="shared" si="39"/>
        <v>5</v>
      </c>
      <c r="P119" s="32">
        <f t="shared" ca="1" si="40"/>
        <v>0</v>
      </c>
      <c r="Q119" s="33" t="s">
        <v>1154</v>
      </c>
      <c r="R119" s="175">
        <f t="shared" si="41"/>
        <v>0</v>
      </c>
      <c r="S119" s="34">
        <f>-SUMPRODUCT((Q$8:Q118=Q119)*(T$8:T118=T119))</f>
        <v>0</v>
      </c>
      <c r="T119" s="35">
        <f t="shared" si="42"/>
        <v>38.014420000000001</v>
      </c>
      <c r="U119" s="184">
        <v>13</v>
      </c>
      <c r="V119" s="184">
        <v>13</v>
      </c>
      <c r="W119" s="186">
        <v>12</v>
      </c>
      <c r="X119" s="32">
        <v>10</v>
      </c>
      <c r="Y119" s="32">
        <v>10</v>
      </c>
      <c r="Z119" s="32"/>
      <c r="AB119" s="36">
        <v>0</v>
      </c>
      <c r="AC119" s="36">
        <v>0</v>
      </c>
      <c r="AD119" s="36">
        <v>0</v>
      </c>
      <c r="AE119" s="36">
        <v>0</v>
      </c>
      <c r="AF119" s="37">
        <v>4</v>
      </c>
      <c r="AG119" s="38">
        <v>38.003240000000005</v>
      </c>
      <c r="AH119" s="39">
        <v>13</v>
      </c>
      <c r="AI119" s="32">
        <v>39</v>
      </c>
      <c r="AJ119" s="25"/>
      <c r="AK119" s="25" t="s">
        <v>1242</v>
      </c>
      <c r="AL119" s="25" t="s">
        <v>1243</v>
      </c>
    </row>
    <row r="120" spans="1:38">
      <c r="A120" s="1">
        <v>6</v>
      </c>
      <c r="B120" s="40">
        <f t="shared" si="36"/>
        <v>6</v>
      </c>
      <c r="C120" s="1" t="s">
        <v>1244</v>
      </c>
      <c r="D120" s="166" t="s">
        <v>57</v>
      </c>
      <c r="E120" s="186">
        <v>11</v>
      </c>
      <c r="F120" s="184">
        <v>14</v>
      </c>
      <c r="G120" s="184">
        <v>11</v>
      </c>
      <c r="H120" s="32">
        <v>9</v>
      </c>
      <c r="I120" s="32"/>
      <c r="J120" s="32"/>
      <c r="K120" s="32">
        <f t="shared" si="37"/>
        <v>36</v>
      </c>
      <c r="L120" s="32"/>
      <c r="M120" s="32"/>
      <c r="N120" s="32">
        <f t="shared" si="38"/>
        <v>35.988799999999998</v>
      </c>
      <c r="O120" s="32">
        <f t="shared" si="39"/>
        <v>4</v>
      </c>
      <c r="P120" s="32">
        <f t="shared" ca="1" si="40"/>
        <v>0</v>
      </c>
      <c r="Q120" s="33" t="s">
        <v>1154</v>
      </c>
      <c r="R120" s="175">
        <f t="shared" si="41"/>
        <v>0</v>
      </c>
      <c r="S120" s="34">
        <f>-SUMPRODUCT((Q$8:Q119=Q120)*(T$8:T119=T120))</f>
        <v>0</v>
      </c>
      <c r="T120" s="35">
        <f t="shared" si="42"/>
        <v>36.015210000000003</v>
      </c>
      <c r="U120" s="184">
        <v>14</v>
      </c>
      <c r="V120" s="186">
        <v>11</v>
      </c>
      <c r="W120" s="184">
        <v>11</v>
      </c>
      <c r="X120" s="32">
        <v>9</v>
      </c>
      <c r="Y120" s="32"/>
      <c r="Z120" s="32"/>
      <c r="AB120" s="36">
        <v>0</v>
      </c>
      <c r="AC120" s="36">
        <v>0</v>
      </c>
      <c r="AD120" s="36">
        <v>0</v>
      </c>
      <c r="AE120" s="36">
        <v>0</v>
      </c>
      <c r="AF120" s="37">
        <v>4</v>
      </c>
      <c r="AG120" s="38">
        <v>36.002218999999997</v>
      </c>
      <c r="AH120" s="39">
        <v>14</v>
      </c>
      <c r="AI120" s="32">
        <v>39</v>
      </c>
      <c r="AJ120" s="25"/>
      <c r="AK120" s="25" t="s">
        <v>1242</v>
      </c>
      <c r="AL120" s="25" t="s">
        <v>1243</v>
      </c>
    </row>
    <row r="121" spans="1:38">
      <c r="A121" s="1">
        <v>7</v>
      </c>
      <c r="B121" s="40">
        <f t="shared" si="36"/>
        <v>7</v>
      </c>
      <c r="C121" s="1" t="s">
        <v>1159</v>
      </c>
      <c r="D121" s="166" t="s">
        <v>29</v>
      </c>
      <c r="E121" s="186"/>
      <c r="F121" s="184"/>
      <c r="G121" s="184">
        <v>10</v>
      </c>
      <c r="H121" s="32">
        <v>11</v>
      </c>
      <c r="I121" s="32">
        <v>11</v>
      </c>
      <c r="J121" s="32"/>
      <c r="K121" s="32">
        <f t="shared" si="37"/>
        <v>32</v>
      </c>
      <c r="L121" s="32"/>
      <c r="M121" s="32"/>
      <c r="N121" s="32">
        <f t="shared" si="38"/>
        <v>31.988700000000001</v>
      </c>
      <c r="O121" s="32">
        <f t="shared" si="39"/>
        <v>3</v>
      </c>
      <c r="P121" s="32">
        <f t="shared" ca="1" si="40"/>
        <v>0</v>
      </c>
      <c r="Q121" s="33" t="s">
        <v>1154</v>
      </c>
      <c r="R121" s="175">
        <f t="shared" si="41"/>
        <v>0</v>
      </c>
      <c r="S121" s="34">
        <f>-SUMPRODUCT((Q$8:Q120=Q121)*(T$8:T120=T121))</f>
        <v>0</v>
      </c>
      <c r="T121" s="35">
        <f t="shared" si="42"/>
        <v>32.0122</v>
      </c>
      <c r="U121" s="32">
        <v>11</v>
      </c>
      <c r="V121" s="32">
        <v>11</v>
      </c>
      <c r="W121" s="184">
        <v>10</v>
      </c>
      <c r="X121" s="186"/>
      <c r="Y121" s="184"/>
      <c r="Z121" s="32"/>
      <c r="AB121" s="36">
        <v>0</v>
      </c>
      <c r="AC121" s="36">
        <v>0</v>
      </c>
      <c r="AD121" s="36">
        <v>0</v>
      </c>
      <c r="AE121" s="36">
        <v>0</v>
      </c>
      <c r="AF121" s="37">
        <v>2</v>
      </c>
      <c r="AG121" s="38">
        <v>20.989319999999999</v>
      </c>
      <c r="AH121" s="39">
        <v>11</v>
      </c>
      <c r="AI121" s="32">
        <v>32</v>
      </c>
      <c r="AJ121" s="25"/>
      <c r="AK121" s="25"/>
      <c r="AL121" s="25"/>
    </row>
    <row r="122" spans="1:38">
      <c r="A122" s="1">
        <v>8</v>
      </c>
      <c r="B122" s="40">
        <f t="shared" si="36"/>
        <v>8</v>
      </c>
      <c r="C122" s="1" t="s">
        <v>1162</v>
      </c>
      <c r="D122" s="166" t="s">
        <v>38</v>
      </c>
      <c r="E122" s="186"/>
      <c r="F122" s="184">
        <v>12</v>
      </c>
      <c r="G122" s="184">
        <v>9</v>
      </c>
      <c r="H122" s="32">
        <v>8</v>
      </c>
      <c r="I122" s="32">
        <v>8</v>
      </c>
      <c r="J122" s="32"/>
      <c r="K122" s="32">
        <f t="shared" si="37"/>
        <v>29</v>
      </c>
      <c r="L122" s="32"/>
      <c r="M122" s="32"/>
      <c r="N122" s="32">
        <f t="shared" si="38"/>
        <v>28.988600000000002</v>
      </c>
      <c r="O122" s="32">
        <f t="shared" si="39"/>
        <v>4</v>
      </c>
      <c r="P122" s="32">
        <f t="shared" ca="1" si="40"/>
        <v>0</v>
      </c>
      <c r="Q122" s="33" t="s">
        <v>1154</v>
      </c>
      <c r="R122" s="175">
        <f t="shared" si="41"/>
        <v>0</v>
      </c>
      <c r="S122" s="34">
        <f>-SUMPRODUCT((Q$8:Q121=Q122)*(T$8:T121=T122))</f>
        <v>0</v>
      </c>
      <c r="T122" s="35">
        <f t="shared" si="42"/>
        <v>29.012979999999999</v>
      </c>
      <c r="U122" s="184">
        <v>12</v>
      </c>
      <c r="V122" s="184">
        <v>9</v>
      </c>
      <c r="W122" s="32">
        <v>8</v>
      </c>
      <c r="X122" s="32">
        <v>8</v>
      </c>
      <c r="Y122" s="186"/>
      <c r="Z122" s="32"/>
      <c r="AB122" s="36">
        <v>0</v>
      </c>
      <c r="AC122" s="36">
        <v>0</v>
      </c>
      <c r="AD122" s="36">
        <v>0</v>
      </c>
      <c r="AE122" s="36">
        <v>0</v>
      </c>
      <c r="AF122" s="37">
        <v>3</v>
      </c>
      <c r="AG122" s="38">
        <v>28.990898000000001</v>
      </c>
      <c r="AH122" s="39">
        <v>12</v>
      </c>
      <c r="AI122" s="32">
        <v>33</v>
      </c>
      <c r="AJ122" s="25"/>
      <c r="AK122" s="25"/>
      <c r="AL122" s="25"/>
    </row>
    <row r="123" spans="1:38">
      <c r="A123" s="1">
        <v>9</v>
      </c>
      <c r="B123" s="40" t="str">
        <f t="shared" si="36"/>
        <v xml:space="preserve">=9 </v>
      </c>
      <c r="C123" s="1" t="s">
        <v>1245</v>
      </c>
      <c r="D123" s="166" t="s">
        <v>29</v>
      </c>
      <c r="E123" s="186">
        <v>15</v>
      </c>
      <c r="F123" s="184"/>
      <c r="G123" s="184"/>
      <c r="H123" s="32"/>
      <c r="I123" s="32"/>
      <c r="J123" s="32"/>
      <c r="K123" s="32">
        <f t="shared" si="37"/>
        <v>15</v>
      </c>
      <c r="L123" s="32"/>
      <c r="M123" s="32"/>
      <c r="N123" s="32">
        <f t="shared" si="38"/>
        <v>14.9885</v>
      </c>
      <c r="O123" s="32">
        <f t="shared" si="39"/>
        <v>1</v>
      </c>
      <c r="P123" s="32">
        <f t="shared" ca="1" si="40"/>
        <v>0</v>
      </c>
      <c r="Q123" s="33" t="s">
        <v>1154</v>
      </c>
      <c r="R123" s="175">
        <f t="shared" si="41"/>
        <v>0</v>
      </c>
      <c r="S123" s="34">
        <f>-SUMPRODUCT((Q$8:Q122=Q123)*(T$8:T122=T123))</f>
        <v>0</v>
      </c>
      <c r="T123" s="35">
        <f t="shared" si="42"/>
        <v>15.015000000000001</v>
      </c>
      <c r="U123" s="186">
        <v>15</v>
      </c>
      <c r="V123" s="184"/>
      <c r="W123" s="184"/>
      <c r="X123" s="32"/>
      <c r="Y123" s="32"/>
      <c r="Z123" s="32"/>
      <c r="AB123" s="36">
        <v>0</v>
      </c>
      <c r="AC123" s="36">
        <v>0</v>
      </c>
      <c r="AD123" s="36">
        <v>0</v>
      </c>
      <c r="AE123" s="36">
        <v>0</v>
      </c>
      <c r="AF123" s="37">
        <v>1</v>
      </c>
      <c r="AG123" s="38">
        <v>15.004100000000001</v>
      </c>
      <c r="AH123" s="39">
        <v>15</v>
      </c>
      <c r="AI123" s="32">
        <v>30</v>
      </c>
      <c r="AJ123" s="25"/>
      <c r="AK123" s="25"/>
      <c r="AL123" s="25"/>
    </row>
    <row r="124" spans="1:38">
      <c r="A124" s="1">
        <v>10</v>
      </c>
      <c r="B124" s="40" t="str">
        <f t="shared" si="36"/>
        <v xml:space="preserve">=9 </v>
      </c>
      <c r="C124" s="1" t="s">
        <v>1155</v>
      </c>
      <c r="D124" s="166" t="s">
        <v>29</v>
      </c>
      <c r="E124" s="186"/>
      <c r="F124" s="184"/>
      <c r="G124" s="184"/>
      <c r="H124" s="32"/>
      <c r="I124" s="32">
        <v>15</v>
      </c>
      <c r="J124" s="32"/>
      <c r="K124" s="32">
        <f t="shared" si="37"/>
        <v>15</v>
      </c>
      <c r="L124" s="32"/>
      <c r="M124" s="32"/>
      <c r="N124" s="32">
        <f t="shared" si="38"/>
        <v>14.9884</v>
      </c>
      <c r="O124" s="32">
        <f t="shared" si="39"/>
        <v>1</v>
      </c>
      <c r="P124" s="32" t="str">
        <f t="shared" ca="1" si="40"/>
        <v>Y</v>
      </c>
      <c r="Q124" s="33" t="s">
        <v>1154</v>
      </c>
      <c r="R124" s="175">
        <f t="shared" si="41"/>
        <v>0</v>
      </c>
      <c r="S124" s="34">
        <f>-SUMPRODUCT((Q$8:Q123=Q124)*(T$8:T123=T124))</f>
        <v>-1</v>
      </c>
      <c r="T124" s="35">
        <f t="shared" si="42"/>
        <v>15.015000000000001</v>
      </c>
      <c r="U124" s="32">
        <v>15</v>
      </c>
      <c r="V124" s="186"/>
      <c r="W124" s="184"/>
      <c r="X124" s="184"/>
      <c r="Y124" s="32"/>
      <c r="Z124" s="32"/>
      <c r="AB124" s="36"/>
      <c r="AC124" s="36"/>
      <c r="AD124" s="36"/>
      <c r="AE124" s="36"/>
      <c r="AF124" s="37"/>
      <c r="AG124" s="38"/>
      <c r="AH124" s="39"/>
      <c r="AI124" s="32"/>
      <c r="AJ124" s="25"/>
      <c r="AK124" s="25"/>
      <c r="AL124" s="25"/>
    </row>
    <row r="125" spans="1:38">
      <c r="A125" s="1">
        <v>11</v>
      </c>
      <c r="B125" s="40">
        <f t="shared" si="36"/>
        <v>11</v>
      </c>
      <c r="C125" s="1" t="s">
        <v>1246</v>
      </c>
      <c r="D125" s="166" t="s">
        <v>38</v>
      </c>
      <c r="E125" s="186"/>
      <c r="F125" s="184"/>
      <c r="G125" s="184">
        <v>12</v>
      </c>
      <c r="H125" s="32"/>
      <c r="I125" s="32"/>
      <c r="J125" s="32"/>
      <c r="K125" s="32">
        <f t="shared" si="37"/>
        <v>12</v>
      </c>
      <c r="L125" s="32"/>
      <c r="M125" s="32"/>
      <c r="N125" s="32">
        <f t="shared" si="38"/>
        <v>11.988300000000001</v>
      </c>
      <c r="O125" s="32">
        <f t="shared" si="39"/>
        <v>1</v>
      </c>
      <c r="P125" s="32">
        <f t="shared" ca="1" si="40"/>
        <v>0</v>
      </c>
      <c r="Q125" s="33" t="s">
        <v>1154</v>
      </c>
      <c r="R125" s="175">
        <f t="shared" si="41"/>
        <v>0</v>
      </c>
      <c r="S125" s="34">
        <f>-SUMPRODUCT((Q$8:Q124=Q125)*(T$8:T124=T125))</f>
        <v>0</v>
      </c>
      <c r="T125" s="35">
        <f t="shared" si="42"/>
        <v>12.012</v>
      </c>
      <c r="U125" s="184">
        <v>12</v>
      </c>
      <c r="V125" s="186"/>
      <c r="W125" s="184"/>
      <c r="X125" s="32"/>
      <c r="Y125" s="32"/>
      <c r="Z125" s="32"/>
      <c r="AB125" s="36">
        <v>0</v>
      </c>
      <c r="AC125" s="36">
        <v>0</v>
      </c>
      <c r="AD125" s="36">
        <v>0</v>
      </c>
      <c r="AE125" s="36">
        <v>0</v>
      </c>
      <c r="AF125" s="187">
        <v>1</v>
      </c>
      <c r="AG125" s="188">
        <v>11.989120000000002</v>
      </c>
      <c r="AH125" s="39">
        <v>12</v>
      </c>
      <c r="AI125" s="32">
        <v>24</v>
      </c>
      <c r="AJ125" s="25"/>
      <c r="AK125" s="25"/>
      <c r="AL125" s="25"/>
    </row>
    <row r="126" spans="1:38" ht="3" customHeight="1">
      <c r="A126" s="166"/>
      <c r="B126" s="166"/>
      <c r="C126" s="166"/>
      <c r="D126" s="166"/>
      <c r="E126" s="186"/>
      <c r="F126" s="186"/>
      <c r="G126" s="184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5"/>
      <c r="T126" s="35"/>
      <c r="U126" s="32"/>
      <c r="V126" s="32"/>
      <c r="W126" s="32"/>
      <c r="X126" s="32"/>
      <c r="Y126" s="32"/>
      <c r="Z126" s="32"/>
      <c r="AF126" s="1"/>
      <c r="AG126" s="39"/>
      <c r="AH126" s="25"/>
      <c r="AI126" s="25"/>
      <c r="AJ126" s="25"/>
      <c r="AK126" s="25"/>
      <c r="AL126" s="25"/>
    </row>
    <row r="127" spans="1:38" ht="15">
      <c r="D127" s="179"/>
      <c r="E127" s="183"/>
      <c r="F127" s="184"/>
      <c r="G127" s="184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5"/>
      <c r="T127" s="35"/>
      <c r="U127" s="32"/>
      <c r="V127" s="32"/>
      <c r="W127" s="32"/>
      <c r="X127" s="32"/>
      <c r="Y127" s="32"/>
      <c r="Z127" s="32"/>
      <c r="AF127" s="1"/>
      <c r="AG127" s="39"/>
      <c r="AH127" s="25"/>
      <c r="AI127" s="25"/>
      <c r="AJ127" s="25"/>
      <c r="AK127" s="25"/>
      <c r="AL127" s="25"/>
    </row>
    <row r="128" spans="1:38" ht="15">
      <c r="A128" s="26" t="s">
        <v>1247</v>
      </c>
      <c r="B128" s="26" t="s">
        <v>1247</v>
      </c>
      <c r="D128" s="179"/>
      <c r="E128" s="183"/>
      <c r="F128" s="184"/>
      <c r="G128" s="184"/>
      <c r="H128" s="32"/>
      <c r="I128" s="32"/>
      <c r="J128" s="32"/>
      <c r="K128" s="32"/>
      <c r="L128" s="32"/>
      <c r="M128" s="32"/>
      <c r="N128" s="32"/>
      <c r="O128" s="32"/>
      <c r="P128" s="32"/>
      <c r="Q128" s="56" t="str">
        <f>A128</f>
        <v>U17B</v>
      </c>
      <c r="R128" s="32"/>
      <c r="S128" s="35"/>
      <c r="T128" s="35"/>
      <c r="U128" s="32"/>
      <c r="V128" s="32"/>
      <c r="W128" s="32"/>
      <c r="X128" s="32"/>
      <c r="Y128" s="32"/>
      <c r="Z128" s="32"/>
      <c r="AF128" s="1"/>
      <c r="AG128" s="39"/>
      <c r="AH128" s="25"/>
      <c r="AI128" s="25"/>
      <c r="AJ128" s="25">
        <v>15</v>
      </c>
      <c r="AK128" s="25">
        <v>15</v>
      </c>
      <c r="AL128" s="25">
        <v>14</v>
      </c>
    </row>
    <row r="129" spans="1:38">
      <c r="A129" s="1">
        <v>1</v>
      </c>
      <c r="B129" s="40" t="str">
        <f>IF(OR(S129&lt;0,S130&lt;0),"="&amp;A129+S129&amp;" ",A129)</f>
        <v xml:space="preserve">=1 </v>
      </c>
      <c r="C129" s="1" t="s">
        <v>1248</v>
      </c>
      <c r="D129" s="166" t="s">
        <v>25</v>
      </c>
      <c r="E129" s="186">
        <v>15</v>
      </c>
      <c r="F129" s="184"/>
      <c r="G129" s="184"/>
      <c r="H129" s="32"/>
      <c r="I129" s="32"/>
      <c r="J129" s="32"/>
      <c r="K129" s="32">
        <f>IFERROR(LARGE(E129:J129,1),0)+IF($D$7&gt;=2,IFERROR(LARGE(E129:J129,2),0),0)+IF($D$7&gt;=3,IFERROR(LARGE(E129:J129,3),0),0)+IF($D$7&gt;=4,IFERROR(LARGE(E129:J129,4),0),0)+IF($D$7&gt;=5,IFERROR(LARGE(E129:J129,5),0),0)+IF($D$7&gt;=6,IFERROR(LARGE(E129:J129,6),0),0)</f>
        <v>15</v>
      </c>
      <c r="L129" s="32"/>
      <c r="M129" s="32" t="s">
        <v>1249</v>
      </c>
      <c r="N129" s="32">
        <f>K129-(ROW(K129)-ROW(K$8))/10000</f>
        <v>14.9879</v>
      </c>
      <c r="O129" s="32">
        <f>COUNT(E129:J129)</f>
        <v>1</v>
      </c>
      <c r="P129" s="32">
        <f ca="1">IF(AND(O129=1,OFFSET(D129,0,P$3)&gt;0),"Y",0)</f>
        <v>0</v>
      </c>
      <c r="Q129" s="33" t="s">
        <v>1247</v>
      </c>
      <c r="R129" s="175">
        <f>1-(Q129=Q128)</f>
        <v>0</v>
      </c>
      <c r="S129" s="34">
        <f>-SUMPRODUCT((Q$8:Q128=Q129)*(T$8:T128=T129))</f>
        <v>0</v>
      </c>
      <c r="T129" s="35">
        <f>K129+SUMPRODUCT(U$6:Z$6,U129:Z129)</f>
        <v>15.015000000000001</v>
      </c>
      <c r="U129" s="186">
        <v>15</v>
      </c>
      <c r="V129" s="184"/>
      <c r="W129" s="184"/>
      <c r="X129" s="32"/>
      <c r="Y129" s="32"/>
      <c r="Z129" s="32"/>
      <c r="AB129" s="36">
        <v>0</v>
      </c>
      <c r="AC129" s="36">
        <v>0</v>
      </c>
      <c r="AD129" s="36">
        <v>0</v>
      </c>
      <c r="AE129" s="36">
        <v>0</v>
      </c>
      <c r="AF129" s="37">
        <v>1</v>
      </c>
      <c r="AG129" s="38">
        <v>15.0036</v>
      </c>
      <c r="AH129" s="39">
        <v>15</v>
      </c>
      <c r="AI129" s="32">
        <v>30</v>
      </c>
      <c r="AJ129" s="25" t="s">
        <v>1249</v>
      </c>
      <c r="AK129" s="25" t="s">
        <v>1250</v>
      </c>
      <c r="AL129" s="25"/>
    </row>
    <row r="130" spans="1:38">
      <c r="A130" s="1">
        <v>2</v>
      </c>
      <c r="B130" s="40" t="str">
        <f>IF(OR(S130&lt;0,S131&lt;0),"="&amp;A130+S130&amp;" ",A130)</f>
        <v xml:space="preserve">=1 </v>
      </c>
      <c r="C130" s="1" t="s">
        <v>1251</v>
      </c>
      <c r="D130" s="166" t="s">
        <v>57</v>
      </c>
      <c r="E130" s="186"/>
      <c r="F130" s="189"/>
      <c r="G130" s="189">
        <v>15</v>
      </c>
      <c r="H130" s="32"/>
      <c r="I130" s="32"/>
      <c r="J130" s="32"/>
      <c r="K130" s="32">
        <f>IFERROR(LARGE(E130:J130,1),0)+IF($D$7&gt;=2,IFERROR(LARGE(E130:J130,2),0),0)+IF($D$7&gt;=3,IFERROR(LARGE(E130:J130,3),0),0)+IF($D$7&gt;=4,IFERROR(LARGE(E130:J130,4),0),0)+IF($D$7&gt;=5,IFERROR(LARGE(E130:J130,5),0),0)+IF($D$7&gt;=6,IFERROR(LARGE(E130:J130,6),0),0)</f>
        <v>15</v>
      </c>
      <c r="L130" s="32"/>
      <c r="M130" s="32" t="s">
        <v>1250</v>
      </c>
      <c r="N130" s="32">
        <f>K130-(ROW(K130)-ROW(K$8))/10000</f>
        <v>14.9878</v>
      </c>
      <c r="O130" s="32">
        <f>COUNT(E130:J130)</f>
        <v>1</v>
      </c>
      <c r="P130" s="32">
        <f ca="1">IF(AND(O130=1,OFFSET(D130,0,P$3)&gt;0),"Y",0)</f>
        <v>0</v>
      </c>
      <c r="Q130" s="33" t="s">
        <v>1247</v>
      </c>
      <c r="R130" s="175">
        <f>1-(Q130=Q129)</f>
        <v>0</v>
      </c>
      <c r="S130" s="34">
        <f>-SUMPRODUCT((Q$8:Q129=Q130)*(T$8:T129=T130))</f>
        <v>-1</v>
      </c>
      <c r="T130" s="35">
        <f>K130+SUMPRODUCT(U$6:Z$6,U130:Z130)</f>
        <v>15.015000000000001</v>
      </c>
      <c r="U130" s="189">
        <v>15</v>
      </c>
      <c r="V130" s="186"/>
      <c r="W130" s="189"/>
      <c r="X130" s="32"/>
      <c r="Y130" s="32"/>
      <c r="Z130" s="32"/>
      <c r="AB130" s="36">
        <v>0</v>
      </c>
      <c r="AC130" s="36">
        <v>0</v>
      </c>
      <c r="AD130" s="36">
        <v>0</v>
      </c>
      <c r="AE130" s="36">
        <v>0</v>
      </c>
      <c r="AF130" s="37">
        <v>1</v>
      </c>
      <c r="AG130" s="38">
        <v>14.98865</v>
      </c>
      <c r="AH130" s="39">
        <v>15</v>
      </c>
      <c r="AI130" s="32">
        <v>30</v>
      </c>
      <c r="AJ130" s="25" t="s">
        <v>1249</v>
      </c>
      <c r="AK130" s="25" t="s">
        <v>1250</v>
      </c>
      <c r="AL130" s="25"/>
    </row>
    <row r="131" spans="1:38" ht="3" customHeight="1">
      <c r="A131" s="166"/>
      <c r="B131" s="166"/>
      <c r="C131" s="166"/>
      <c r="D131" s="166"/>
      <c r="E131" s="186"/>
      <c r="F131" s="186"/>
      <c r="G131" s="184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5"/>
      <c r="T131" s="35"/>
      <c r="U131" s="32"/>
      <c r="V131" s="32"/>
      <c r="W131" s="32"/>
      <c r="X131" s="32"/>
      <c r="Y131" s="32"/>
      <c r="Z131" s="32"/>
      <c r="AF131" s="1"/>
      <c r="AG131" s="39"/>
      <c r="AH131" s="25"/>
      <c r="AI131" s="25"/>
      <c r="AJ131" s="25"/>
      <c r="AK131" s="25"/>
      <c r="AL131" s="25"/>
    </row>
    <row r="132" spans="1:38" ht="15">
      <c r="D132" s="179"/>
      <c r="E132" s="183"/>
      <c r="F132" s="184"/>
      <c r="G132" s="184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5"/>
      <c r="T132" s="35"/>
      <c r="U132" s="32"/>
      <c r="V132" s="32"/>
      <c r="W132" s="32"/>
      <c r="X132" s="32"/>
      <c r="Y132" s="32"/>
      <c r="Z132" s="32"/>
      <c r="AF132" s="1"/>
      <c r="AG132" s="39"/>
      <c r="AH132" s="25"/>
      <c r="AI132" s="25"/>
      <c r="AJ132" s="25"/>
      <c r="AK132" s="25"/>
      <c r="AL132" s="25"/>
    </row>
    <row r="133" spans="1:38" ht="15">
      <c r="A133" s="26" t="s">
        <v>1163</v>
      </c>
      <c r="B133" s="26" t="s">
        <v>1163</v>
      </c>
      <c r="D133" s="179"/>
      <c r="E133" s="183"/>
      <c r="F133" s="184"/>
      <c r="G133" s="184"/>
      <c r="H133" s="185"/>
      <c r="I133" s="32"/>
      <c r="J133" s="32"/>
      <c r="K133" s="32"/>
      <c r="L133" s="32"/>
      <c r="M133" s="32"/>
      <c r="N133" s="32"/>
      <c r="O133" s="32"/>
      <c r="P133" s="32"/>
      <c r="Q133" s="56" t="str">
        <f>A133</f>
        <v>U17G</v>
      </c>
      <c r="R133" s="32"/>
      <c r="S133" s="35"/>
      <c r="T133" s="35"/>
      <c r="U133" s="32"/>
      <c r="V133" s="32"/>
      <c r="W133" s="32"/>
      <c r="X133" s="32"/>
      <c r="Y133" s="32"/>
      <c r="Z133" s="32"/>
      <c r="AB133" s="36"/>
      <c r="AC133" s="36"/>
      <c r="AD133" s="36"/>
      <c r="AE133" s="36"/>
      <c r="AF133" s="37"/>
      <c r="AG133" s="38"/>
      <c r="AH133" s="39">
        <v>0</v>
      </c>
      <c r="AI133" s="32">
        <v>0</v>
      </c>
      <c r="AJ133" s="25">
        <v>45</v>
      </c>
      <c r="AK133" s="25">
        <v>15</v>
      </c>
      <c r="AL133" s="25"/>
    </row>
    <row r="134" spans="1:38" ht="15">
      <c r="A134" s="1">
        <v>1</v>
      </c>
      <c r="B134" s="40">
        <f>IF(OR(S134&lt;0,S135&lt;0),"="&amp;A134+S134&amp;" ",A134)</f>
        <v>1</v>
      </c>
      <c r="C134" s="1" t="s">
        <v>1164</v>
      </c>
      <c r="D134" s="166" t="s">
        <v>19</v>
      </c>
      <c r="E134" s="186">
        <v>15</v>
      </c>
      <c r="F134" s="184">
        <v>15</v>
      </c>
      <c r="G134" s="184">
        <v>15</v>
      </c>
      <c r="H134" s="185">
        <v>14</v>
      </c>
      <c r="I134" s="32">
        <v>15</v>
      </c>
      <c r="J134" s="32"/>
      <c r="K134" s="32">
        <f>IFERROR(LARGE(E134:J134,1),0)+IF($D$7&gt;=2,IFERROR(LARGE(E134:J134,2),0),0)+IF($D$7&gt;=3,IFERROR(LARGE(E134:J134,3),0),0)+IF($D$7&gt;=4,IFERROR(LARGE(E134:J134,4),0),0)+IF($D$7&gt;=5,IFERROR(LARGE(E134:J134,5),0),0)+IF($D$7&gt;=6,IFERROR(LARGE(E134:J134,6),0),0)</f>
        <v>45</v>
      </c>
      <c r="L134" s="32"/>
      <c r="M134" s="32" t="s">
        <v>1252</v>
      </c>
      <c r="N134" s="32">
        <f>K134-(ROW(K134)-ROW(K$8))/10000</f>
        <v>44.987400000000001</v>
      </c>
      <c r="O134" s="32">
        <f>COUNT(E134:J134)</f>
        <v>5</v>
      </c>
      <c r="P134" s="32">
        <f ca="1">IF(AND(O134=1,OFFSET(D134,0,P$3)&gt;0),"Y",0)</f>
        <v>0</v>
      </c>
      <c r="Q134" s="33" t="s">
        <v>1163</v>
      </c>
      <c r="R134" s="175">
        <f>1-(Q134=Q133)</f>
        <v>0</v>
      </c>
      <c r="S134" s="34">
        <f>-SUMPRODUCT((Q$8:Q133=Q134)*(T$8:T133=T134))</f>
        <v>0</v>
      </c>
      <c r="T134" s="35">
        <f>K134+SUMPRODUCT(U$6:Z$6,U134:Z134)</f>
        <v>45.016649999999998</v>
      </c>
      <c r="U134" s="186">
        <v>15</v>
      </c>
      <c r="V134" s="184">
        <v>15</v>
      </c>
      <c r="W134" s="184">
        <v>15</v>
      </c>
      <c r="X134" s="32">
        <v>15</v>
      </c>
      <c r="Y134" s="185">
        <v>14</v>
      </c>
      <c r="Z134" s="32"/>
      <c r="AB134" s="36">
        <v>0</v>
      </c>
      <c r="AC134" s="36">
        <v>0</v>
      </c>
      <c r="AD134" s="36">
        <v>0</v>
      </c>
      <c r="AE134" s="36">
        <v>0</v>
      </c>
      <c r="AF134" s="37">
        <v>4</v>
      </c>
      <c r="AG134" s="38">
        <v>45.004764000000002</v>
      </c>
      <c r="AH134" s="39">
        <v>15</v>
      </c>
      <c r="AI134" s="32">
        <v>45</v>
      </c>
      <c r="AJ134" s="25" t="s">
        <v>1252</v>
      </c>
      <c r="AK134" s="25"/>
      <c r="AL134" s="25"/>
    </row>
    <row r="135" spans="1:38" ht="15">
      <c r="A135" s="1">
        <v>2</v>
      </c>
      <c r="B135" s="40">
        <f>IF(OR(S135&lt;0,S136&lt;0),"="&amp;A135+S135&amp;" ",A135)</f>
        <v>2</v>
      </c>
      <c r="C135" s="1" t="s">
        <v>1253</v>
      </c>
      <c r="D135" s="166" t="s">
        <v>61</v>
      </c>
      <c r="E135" s="186"/>
      <c r="F135" s="189"/>
      <c r="G135" s="189"/>
      <c r="H135" s="190">
        <v>15</v>
      </c>
      <c r="I135" s="32"/>
      <c r="J135" s="32"/>
      <c r="K135" s="32">
        <f>IFERROR(LARGE(E135:J135,1),0)+IF($D$7&gt;=2,IFERROR(LARGE(E135:J135,2),0),0)+IF($D$7&gt;=3,IFERROR(LARGE(E135:J135,3),0),0)+IF($D$7&gt;=4,IFERROR(LARGE(E135:J135,4),0),0)+IF($D$7&gt;=5,IFERROR(LARGE(E135:J135,5),0),0)+IF($D$7&gt;=6,IFERROR(LARGE(E135:J135,6),0),0)</f>
        <v>15</v>
      </c>
      <c r="L135" s="32"/>
      <c r="M135" s="32" t="s">
        <v>1254</v>
      </c>
      <c r="N135" s="32">
        <f>K135-(ROW(K135)-ROW(K$8))/10000</f>
        <v>14.987299999999999</v>
      </c>
      <c r="O135" s="32">
        <f>COUNT(E135:J135)</f>
        <v>1</v>
      </c>
      <c r="P135" s="32">
        <f ca="1">IF(AND(O135=1,OFFSET(D135,0,P$3)&gt;0),"Y",0)</f>
        <v>0</v>
      </c>
      <c r="Q135" s="33" t="s">
        <v>1163</v>
      </c>
      <c r="R135" s="175">
        <f>1-(Q135=Q134)</f>
        <v>0</v>
      </c>
      <c r="S135" s="34">
        <f>-SUMPRODUCT((Q$8:Q134=Q135)*(T$8:T134=T135))</f>
        <v>0</v>
      </c>
      <c r="T135" s="35">
        <f>K135+SUMPRODUCT(U$6:Z$6,U135:Z135)</f>
        <v>15.015000000000001</v>
      </c>
      <c r="U135" s="190">
        <v>15</v>
      </c>
      <c r="V135" s="186"/>
      <c r="W135" s="189"/>
      <c r="X135" s="189"/>
      <c r="Y135" s="32"/>
      <c r="Z135" s="32"/>
      <c r="AB135" s="36">
        <v>0</v>
      </c>
      <c r="AC135" s="36">
        <v>0</v>
      </c>
      <c r="AD135" s="36">
        <v>0</v>
      </c>
      <c r="AE135" s="36">
        <v>0</v>
      </c>
      <c r="AF135" s="37">
        <v>1</v>
      </c>
      <c r="AG135" s="38">
        <v>14.988149999999999</v>
      </c>
      <c r="AH135" s="39">
        <v>15</v>
      </c>
      <c r="AI135" s="32">
        <v>30</v>
      </c>
      <c r="AJ135" s="25"/>
      <c r="AK135" s="25" t="s">
        <v>1254</v>
      </c>
      <c r="AL135" s="25"/>
    </row>
    <row r="136" spans="1:38" ht="3" customHeight="1">
      <c r="D136" s="191"/>
      <c r="E136" s="184"/>
      <c r="F136" s="184"/>
      <c r="G136" s="19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193"/>
      <c r="T136" s="193"/>
      <c r="U136" s="183"/>
      <c r="V136" s="183"/>
      <c r="W136" s="183"/>
      <c r="X136" s="183"/>
      <c r="Y136" s="183"/>
      <c r="Z136" s="183"/>
      <c r="AB136" s="36" t="e">
        <v>#N/A</v>
      </c>
      <c r="AC136" s="36" t="e">
        <v>#N/A</v>
      </c>
      <c r="AD136" s="36" t="e">
        <v>#N/A</v>
      </c>
      <c r="AE136" s="36" t="e">
        <v>#N/A</v>
      </c>
      <c r="AF136" s="37"/>
      <c r="AG136" s="38"/>
      <c r="AH136" s="39">
        <v>0</v>
      </c>
      <c r="AI136" s="32">
        <v>0</v>
      </c>
      <c r="AJ136" s="25"/>
      <c r="AK136" s="25"/>
      <c r="AL136" s="25"/>
    </row>
    <row r="137" spans="1:38" ht="15"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184"/>
      <c r="V137" s="184"/>
      <c r="W137" s="192"/>
      <c r="X137" s="32"/>
      <c r="Y137" s="32"/>
      <c r="Z137" s="32"/>
      <c r="AF137" s="1"/>
      <c r="AG137" s="1"/>
    </row>
    <row r="138" spans="1:38">
      <c r="E138" s="27"/>
      <c r="G138" s="27"/>
      <c r="H138" s="27"/>
      <c r="I138" s="27"/>
      <c r="AF138" s="1"/>
      <c r="AG138" s="1"/>
    </row>
    <row r="139" spans="1:38">
      <c r="E139" s="27"/>
      <c r="F139" s="27"/>
      <c r="G139" s="27"/>
      <c r="H139" s="27"/>
      <c r="I139" s="27"/>
      <c r="AF139" s="1"/>
      <c r="AG139" s="1"/>
    </row>
    <row r="140" spans="1:38" ht="15">
      <c r="E140" s="27"/>
      <c r="F140" s="66"/>
      <c r="G140" s="27"/>
      <c r="H140" s="27"/>
      <c r="I140" s="27"/>
      <c r="AF140" s="1"/>
      <c r="AG140" s="1"/>
    </row>
    <row r="141" spans="1:38" ht="15">
      <c r="E141" s="27"/>
      <c r="F141" s="27"/>
      <c r="G141" s="27"/>
      <c r="H141" s="27"/>
      <c r="I141" s="66"/>
      <c r="AF141" s="1"/>
      <c r="AG141" s="1"/>
    </row>
    <row r="142" spans="1:38">
      <c r="E142" s="27"/>
      <c r="F142" s="27"/>
      <c r="G142" s="27"/>
      <c r="H142" s="27"/>
      <c r="I142" s="27"/>
      <c r="AF142" s="1"/>
      <c r="AG142" s="1"/>
    </row>
    <row r="143" spans="1:38">
      <c r="E143" s="27"/>
      <c r="F143" s="27"/>
      <c r="G143" s="27"/>
      <c r="H143" s="27"/>
      <c r="I143" s="27"/>
      <c r="AF143" s="1"/>
      <c r="AG143" s="1"/>
    </row>
    <row r="144" spans="1:38" ht="15">
      <c r="E144" s="27"/>
      <c r="F144" s="27"/>
      <c r="G144" s="27"/>
      <c r="H144" s="66"/>
      <c r="I144" s="27"/>
      <c r="AF144" s="1"/>
      <c r="AG144" s="1"/>
    </row>
    <row r="145" spans="5:33">
      <c r="E145" s="27"/>
      <c r="F145" s="27"/>
      <c r="G145" s="27"/>
      <c r="H145" s="27"/>
      <c r="I145" s="27"/>
      <c r="AF145" s="1"/>
      <c r="AG145" s="1"/>
    </row>
    <row r="146" spans="5:33">
      <c r="E146" s="27"/>
      <c r="F146" s="27"/>
      <c r="G146" s="27"/>
      <c r="H146" s="27"/>
      <c r="I146" s="27"/>
      <c r="AF146" s="1"/>
      <c r="AG146" s="1"/>
    </row>
    <row r="147" spans="5:33">
      <c r="E147" s="27"/>
      <c r="F147" s="27"/>
      <c r="G147" s="27"/>
      <c r="H147" s="27"/>
      <c r="I147" s="27"/>
      <c r="AF147" s="1"/>
      <c r="AG147" s="1"/>
    </row>
    <row r="148" spans="5:33">
      <c r="E148" s="27"/>
      <c r="F148" s="27"/>
      <c r="G148" s="27"/>
      <c r="H148" s="27"/>
      <c r="I148" s="27"/>
      <c r="AF148" s="1"/>
      <c r="AG148" s="1"/>
    </row>
    <row r="149" spans="5:33" ht="15">
      <c r="E149" s="27"/>
      <c r="F149" s="27"/>
      <c r="G149" s="66"/>
      <c r="H149" s="27"/>
      <c r="I149" s="27"/>
      <c r="AF149" s="1"/>
      <c r="AG149" s="1"/>
    </row>
    <row r="150" spans="5:33">
      <c r="E150" s="27"/>
      <c r="F150" s="27"/>
      <c r="G150" s="27"/>
      <c r="H150" s="27"/>
      <c r="I150" s="27"/>
      <c r="AF150" s="1"/>
      <c r="AG150" s="1"/>
    </row>
    <row r="151" spans="5:33" ht="15">
      <c r="E151" s="66"/>
      <c r="F151" s="66"/>
      <c r="G151" s="27"/>
      <c r="H151" s="27"/>
      <c r="I151" s="27"/>
      <c r="AF151" s="1"/>
      <c r="AG151" s="1"/>
    </row>
    <row r="152" spans="5:33">
      <c r="E152" s="27"/>
      <c r="F152" s="27"/>
      <c r="G152" s="27"/>
      <c r="H152" s="27"/>
      <c r="I152" s="27"/>
      <c r="AF152" s="1"/>
      <c r="AG152" s="1"/>
    </row>
    <row r="153" spans="5:33">
      <c r="E153" s="27"/>
      <c r="F153" s="27"/>
      <c r="G153" s="27"/>
      <c r="H153" s="27"/>
      <c r="AF153" s="1"/>
      <c r="AG153" s="1"/>
    </row>
    <row r="154" spans="5:33">
      <c r="E154" s="27"/>
      <c r="F154" s="27"/>
      <c r="G154" s="27"/>
      <c r="H154" s="27"/>
      <c r="AF154" s="1"/>
      <c r="AG154" s="1"/>
    </row>
    <row r="155" spans="5:33" ht="15">
      <c r="E155" s="27"/>
      <c r="F155" s="27"/>
      <c r="H155" s="27"/>
      <c r="I155" s="66"/>
      <c r="AF155" s="1"/>
      <c r="AG155" s="1"/>
    </row>
    <row r="156" spans="5:33">
      <c r="F156" s="27"/>
      <c r="H156" s="27"/>
      <c r="I156" s="27"/>
      <c r="AF156" s="1"/>
      <c r="AG156" s="1"/>
    </row>
    <row r="157" spans="5:33" ht="15">
      <c r="F157" s="27"/>
      <c r="G157" s="66"/>
      <c r="I157" s="27"/>
      <c r="AF157" s="1"/>
      <c r="AG157" s="1"/>
    </row>
    <row r="158" spans="5:33" ht="15">
      <c r="E158" s="66"/>
      <c r="G158" s="27"/>
      <c r="I158" s="27"/>
      <c r="AF158" s="1"/>
      <c r="AG158" s="1"/>
    </row>
    <row r="159" spans="5:33" ht="15">
      <c r="E159" s="27"/>
      <c r="G159" s="27"/>
      <c r="H159" s="66"/>
      <c r="I159" s="27"/>
      <c r="AF159" s="1"/>
      <c r="AG159" s="1"/>
    </row>
    <row r="160" spans="5:33" ht="15">
      <c r="E160" s="27"/>
      <c r="F160" s="66"/>
      <c r="G160" s="27"/>
      <c r="H160" s="27"/>
      <c r="I160" s="27"/>
      <c r="AF160" s="1"/>
      <c r="AG160" s="1"/>
    </row>
    <row r="161" spans="5:33">
      <c r="E161" s="27"/>
      <c r="F161" s="27"/>
      <c r="G161" s="27"/>
      <c r="H161" s="27"/>
      <c r="I161" s="27"/>
      <c r="AF161" s="1"/>
      <c r="AG161" s="1"/>
    </row>
    <row r="162" spans="5:33">
      <c r="F162" s="27"/>
      <c r="H162" s="27"/>
      <c r="I162" s="27"/>
      <c r="AF162" s="1"/>
      <c r="AG162" s="1"/>
    </row>
    <row r="163" spans="5:33">
      <c r="F163" s="27"/>
      <c r="H163" s="27"/>
      <c r="AF163" s="1"/>
      <c r="AG163" s="1"/>
    </row>
    <row r="164" spans="5:33">
      <c r="AF164" s="1"/>
      <c r="AG164" s="1"/>
    </row>
    <row r="165" spans="5:33" ht="15">
      <c r="I165" s="66"/>
      <c r="AF165" s="1"/>
      <c r="AG165" s="1"/>
    </row>
    <row r="166" spans="5:33" ht="15">
      <c r="F166" s="66"/>
      <c r="H166" s="66"/>
      <c r="I166" s="27"/>
      <c r="AF166" s="1"/>
      <c r="AG166" s="1"/>
    </row>
    <row r="167" spans="5:33">
      <c r="F167" s="27"/>
      <c r="H167" s="27"/>
      <c r="I167" s="27"/>
      <c r="AF167" s="1"/>
      <c r="AG167" s="1"/>
    </row>
    <row r="168" spans="5:33">
      <c r="F168" s="27"/>
      <c r="H168" s="27"/>
      <c r="I168" s="27"/>
      <c r="AF168" s="1"/>
      <c r="AG168" s="1"/>
    </row>
    <row r="169" spans="5:33">
      <c r="F169" s="27"/>
      <c r="H169" s="27"/>
      <c r="I169" s="27"/>
      <c r="AF169" s="1"/>
      <c r="AG169" s="1"/>
    </row>
    <row r="170" spans="5:33">
      <c r="H170" s="27"/>
      <c r="AF170" s="1"/>
      <c r="AG170" s="1"/>
    </row>
  </sheetData>
  <conditionalFormatting sqref="U8:U9 U30:U32 U61:U63 U77:U79 U98:U100 U112:U114 U126:U128 U131:U133 U136">
    <cfRule type="expression" dxfId="30" priority="6">
      <formula>IF(U$5=0,TRUE)</formula>
    </cfRule>
  </conditionalFormatting>
  <conditionalFormatting sqref="V8:V9 V30:V32 V61:V63 V77:V79 V98:V100 V112:V114 V126:V128 V131:V133 V136">
    <cfRule type="expression" dxfId="29" priority="5">
      <formula>IF(V$5=0,TRUE)</formula>
    </cfRule>
  </conditionalFormatting>
  <conditionalFormatting sqref="W8:W9 W30:W32 W61:W63 W77:W79 W98:W100 W112:W114 W126:W128 W131:W133 W136">
    <cfRule type="expression" dxfId="28" priority="4">
      <formula>IF(W$5=0,TRUE)</formula>
    </cfRule>
  </conditionalFormatting>
  <conditionalFormatting sqref="X8:X9 X30:X32 X61:X63 X77:X79 X98:X100 X112:X114 X126:X128 X131:X133 X136">
    <cfRule type="expression" dxfId="27" priority="3">
      <formula>IF(X$5=0,TRUE)</formula>
    </cfRule>
  </conditionalFormatting>
  <conditionalFormatting sqref="Y8:Y9 Y30:Y32 Y61:Y63 Y77:Y79 Y98:Y100 Y112:Y114 Y126:Y128 Y131:Y133 Y136">
    <cfRule type="expression" dxfId="26" priority="2">
      <formula>IF(Y$5=0,TRUE)</formula>
    </cfRule>
  </conditionalFormatting>
  <conditionalFormatting sqref="Z8:Z9 Z30:Z32 Z61:Z63 Z77:Z79 Z98:Z100 Z112:Z114 Z126:Z128 Z131:Z133 Z136">
    <cfRule type="expression" dxfId="25" priority="1">
      <formula>IF(Z$5=0,TRUE)</formula>
    </cfRule>
  </conditionalFormatting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7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wksAwardsJunior">
    <tabColor rgb="FF9BBB59"/>
    <pageSetUpPr fitToPage="1"/>
  </sheetPr>
  <dimension ref="A1:AJ55"/>
  <sheetViews>
    <sheetView topLeftCell="A3" workbookViewId="0">
      <selection activeCell="A23" sqref="A23"/>
    </sheetView>
  </sheetViews>
  <sheetFormatPr defaultRowHeight="12.75" outlineLevelCol="1"/>
  <cols>
    <col min="1" max="1" width="9.140625" style="2"/>
    <col min="2" max="2" width="5.140625" style="2" customWidth="1"/>
    <col min="3" max="3" width="9.140625" style="2"/>
    <col min="4" max="4" width="34.28515625" style="2" customWidth="1"/>
    <col min="5" max="5" width="9.140625" style="2"/>
    <col min="6" max="7" width="8.5703125" style="2" customWidth="1"/>
    <col min="8" max="8" width="33.85546875" style="2" customWidth="1"/>
    <col min="9" max="9" width="10.28515625" style="2" customWidth="1"/>
    <col min="10" max="10" width="10.85546875" style="2" customWidth="1"/>
    <col min="11" max="12" width="10.140625" style="2" customWidth="1"/>
    <col min="13" max="15" width="10.28515625" style="2" hidden="1" customWidth="1" outlineLevel="1"/>
    <col min="16" max="16" width="16.5703125" style="2" hidden="1" customWidth="1" outlineLevel="1"/>
    <col min="17" max="17" width="10.7109375" style="2" hidden="1" customWidth="1" outlineLevel="1"/>
    <col min="18" max="22" width="10.28515625" style="2" hidden="1" customWidth="1" outlineLevel="1"/>
    <col min="23" max="23" width="24.140625" style="2" hidden="1" customWidth="1" outlineLevel="1"/>
    <col min="24" max="24" width="109" style="2" hidden="1" customWidth="1" outlineLevel="1"/>
    <col min="25" max="25" width="9.140625" style="2" hidden="1" customWidth="1" outlineLevel="1"/>
    <col min="26" max="26" width="38.28515625" style="2" hidden="1" customWidth="1" outlineLevel="1"/>
    <col min="27" max="30" width="9.140625" style="2" hidden="1" customWidth="1" outlineLevel="1"/>
    <col min="31" max="31" width="48.140625" style="2" hidden="1" customWidth="1" outlineLevel="1"/>
    <col min="32" max="35" width="9.140625" style="2" hidden="1" customWidth="1" outlineLevel="1"/>
    <col min="36" max="36" width="9.140625" style="2" collapsed="1"/>
    <col min="37" max="16384" width="9.140625" style="2"/>
  </cols>
  <sheetData>
    <row r="1" spans="1:35">
      <c r="M1" s="28" t="s">
        <v>1255</v>
      </c>
      <c r="N1" s="2">
        <v>129</v>
      </c>
      <c r="O1" s="2">
        <v>8</v>
      </c>
      <c r="P1" s="1" t="s">
        <v>1256</v>
      </c>
      <c r="Q1" s="1"/>
    </row>
    <row r="2" spans="1:35">
      <c r="C2" s="26" t="s">
        <v>1326</v>
      </c>
    </row>
    <row r="3" spans="1:35">
      <c r="C3" s="26" t="s">
        <v>1257</v>
      </c>
      <c r="F3" s="28" t="s">
        <v>959</v>
      </c>
      <c r="G3" s="100" t="e">
        <f>IndNoOfRaces</f>
        <v>#NAME?</v>
      </c>
      <c r="M3" s="101" t="str">
        <f>IF(COUNT(R5:R44)-SUM(R5:R44)=0,"All OK",IF(COUNT(R5:R44)-SUM(R5:R44)-COUNTIF(F5:F44,"No match")=0,"Some N/A","Queries"))</f>
        <v>Some N/A</v>
      </c>
      <c r="N3" s="102" t="str">
        <f>IF(SUM(N5:N44)=0,"All OK","Queries")</f>
        <v>All OK</v>
      </c>
      <c r="O3" s="102"/>
      <c r="P3" s="102"/>
      <c r="Q3" s="102"/>
      <c r="X3" s="41" t="s">
        <v>1258</v>
      </c>
      <c r="AE3" s="2" t="s">
        <v>962</v>
      </c>
    </row>
    <row r="4" spans="1:35" ht="63.75">
      <c r="A4" s="1" t="s">
        <v>963</v>
      </c>
      <c r="B4" s="1"/>
      <c r="D4" s="26" t="s">
        <v>964</v>
      </c>
      <c r="E4" s="26" t="s">
        <v>10</v>
      </c>
      <c r="F4" s="26" t="s">
        <v>965</v>
      </c>
      <c r="G4" s="22" t="s">
        <v>966</v>
      </c>
      <c r="H4" s="22" t="s">
        <v>1259</v>
      </c>
      <c r="I4" s="22" t="s">
        <v>968</v>
      </c>
      <c r="J4" s="22" t="s">
        <v>941</v>
      </c>
      <c r="K4" s="22" t="s">
        <v>1260</v>
      </c>
      <c r="L4" s="22" t="s">
        <v>1261</v>
      </c>
      <c r="M4" s="57" t="s">
        <v>969</v>
      </c>
      <c r="N4" s="57" t="s">
        <v>1262</v>
      </c>
      <c r="O4" s="57" t="s">
        <v>971</v>
      </c>
      <c r="P4" s="57" t="s">
        <v>972</v>
      </c>
      <c r="Q4" s="57" t="s">
        <v>973</v>
      </c>
      <c r="R4" s="57" t="s">
        <v>1263</v>
      </c>
      <c r="S4" s="57" t="s">
        <v>1264</v>
      </c>
      <c r="T4" s="57" t="s">
        <v>982</v>
      </c>
      <c r="U4" s="57" t="s">
        <v>983</v>
      </c>
      <c r="V4" s="103" t="s">
        <v>1265</v>
      </c>
      <c r="W4" s="1" t="s">
        <v>985</v>
      </c>
      <c r="X4" s="1" t="s">
        <v>986</v>
      </c>
      <c r="Y4" s="2" t="s">
        <v>987</v>
      </c>
      <c r="AE4" s="26" t="s">
        <v>964</v>
      </c>
      <c r="AF4" s="26" t="s">
        <v>10</v>
      </c>
      <c r="AG4" s="26" t="s">
        <v>965</v>
      </c>
    </row>
    <row r="5" spans="1:35">
      <c r="A5" s="72"/>
      <c r="B5" s="72"/>
      <c r="C5" s="104" t="s">
        <v>1266</v>
      </c>
      <c r="D5" s="104"/>
      <c r="E5" s="104"/>
      <c r="F5" s="129"/>
      <c r="G5" s="129"/>
      <c r="H5" s="105"/>
      <c r="I5" s="105"/>
      <c r="J5" s="129"/>
      <c r="K5" s="105"/>
      <c r="L5" s="105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07"/>
      <c r="Y5" s="108"/>
      <c r="Z5" s="108"/>
      <c r="AA5" s="108"/>
      <c r="AB5" s="134"/>
      <c r="AE5" s="135"/>
      <c r="AF5" s="135"/>
      <c r="AG5" s="136"/>
    </row>
    <row r="6" spans="1:35">
      <c r="A6" s="2" t="s">
        <v>1176</v>
      </c>
      <c r="B6" s="2">
        <v>1</v>
      </c>
      <c r="C6" s="137">
        <f>IF(J6=J7,"=1",1)</f>
        <v>1</v>
      </c>
      <c r="D6" s="138" t="s">
        <v>1109</v>
      </c>
      <c r="E6" s="138" t="s">
        <v>38</v>
      </c>
      <c r="F6" s="138">
        <v>74</v>
      </c>
      <c r="G6" s="138">
        <v>3</v>
      </c>
      <c r="H6" s="110" t="e">
        <f>IF(I6="No","Insufficient races",IF(I6="N/A","No runner",IF(C6="=1","Joint Winner",IF(C6="=2","Joint second","OK")))) &amp; " "&amp;IF(L6=1,"1st East Sussex","")</f>
        <v>#NAME?</v>
      </c>
      <c r="I6" s="110" t="e">
        <f>IF(D6="No Match","N/A",IF(G6&lt;G$3,"No","OK"))</f>
        <v>#NAME?</v>
      </c>
      <c r="J6" s="138">
        <v>74.027739999999994</v>
      </c>
      <c r="K6" s="194" t="s">
        <v>1330</v>
      </c>
      <c r="L6" s="195"/>
      <c r="M6" s="196" t="e">
        <f>IF(OR(D6="No match",I6="No"),"N/A",IF(R6=1,"OK",IF(X6="No qualifing runner","No prev","No")))</f>
        <v>#NAME?</v>
      </c>
      <c r="N6" s="142">
        <v>0</v>
      </c>
      <c r="O6" s="143">
        <v>0</v>
      </c>
      <c r="P6" s="144">
        <v>0</v>
      </c>
      <c r="Q6" s="143">
        <v>0</v>
      </c>
      <c r="R6" s="145">
        <v>1</v>
      </c>
      <c r="S6" s="117">
        <f>IF(D6="No match","N/A",F6-T6)</f>
        <v>24.974200000000003</v>
      </c>
      <c r="T6" s="147">
        <v>49.025799999999997</v>
      </c>
      <c r="U6" s="147">
        <v>3</v>
      </c>
      <c r="V6" s="119" t="b">
        <f>D6=W6</f>
        <v>0</v>
      </c>
      <c r="W6" s="119" t="s">
        <v>1112</v>
      </c>
      <c r="X6" s="107" t="s">
        <v>1267</v>
      </c>
      <c r="Y6" s="120"/>
      <c r="Z6" s="120" t="s">
        <v>1268</v>
      </c>
      <c r="AA6" s="120" t="s">
        <v>1113</v>
      </c>
      <c r="AB6" s="121">
        <v>99</v>
      </c>
      <c r="AD6" s="2">
        <v>1</v>
      </c>
      <c r="AE6" s="122" t="s">
        <v>1109</v>
      </c>
      <c r="AF6" s="122" t="s">
        <v>38</v>
      </c>
      <c r="AG6" s="123">
        <v>100</v>
      </c>
      <c r="AH6" s="2" t="b">
        <f>AE6=D6</f>
        <v>1</v>
      </c>
    </row>
    <row r="7" spans="1:35">
      <c r="A7" s="2" t="s">
        <v>1177</v>
      </c>
      <c r="B7" s="2">
        <v>2</v>
      </c>
      <c r="C7" s="137">
        <f>IF(J7=J6,"=1",2)</f>
        <v>2</v>
      </c>
      <c r="D7" s="138" t="s">
        <v>1112</v>
      </c>
      <c r="E7" s="138" t="s">
        <v>1113</v>
      </c>
      <c r="F7" s="138">
        <v>73</v>
      </c>
      <c r="G7" s="138">
        <v>4</v>
      </c>
      <c r="H7" s="110" t="e">
        <f>IF(I7="No","Insufficient races",IF(I7="N/A","No runner",IF(C7="=1","Joint Winner",IF(C7="=2","Joint second","OK")))) &amp; " "&amp;IF(L7=1,"1st East Sussex","")</f>
        <v>#NAME?</v>
      </c>
      <c r="I7" s="110" t="e">
        <f>IF(D7="No Match","N/A",IF(G7&lt;G$3,"No","OK"))</f>
        <v>#NAME?</v>
      </c>
      <c r="J7" s="138">
        <v>73.027640000000005</v>
      </c>
      <c r="K7" s="194" t="s">
        <v>1331</v>
      </c>
      <c r="L7" s="197" t="e">
        <f>AND(K7="Y",K6="N",I7="OK")*1</f>
        <v>#NAME?</v>
      </c>
      <c r="M7" s="196" t="e">
        <f t="shared" ref="M7:M8" si="0">IF(OR(D7="No match",I7="No"),"N/A",IF(R7=1,"OK",IF(X7="No qualifing runner","No prev","No")))</f>
        <v>#NAME?</v>
      </c>
      <c r="N7" s="142">
        <v>0</v>
      </c>
      <c r="O7" s="143">
        <v>0</v>
      </c>
      <c r="P7" s="144">
        <v>0</v>
      </c>
      <c r="Q7" s="143">
        <v>0</v>
      </c>
      <c r="R7" s="145">
        <v>1</v>
      </c>
      <c r="S7" s="117">
        <f>IF(D7="No match","N/A",F7-T7)</f>
        <v>-2.4739999999781048E-3</v>
      </c>
      <c r="T7" s="147">
        <v>73.002473999999978</v>
      </c>
      <c r="U7" s="147">
        <v>4</v>
      </c>
      <c r="V7" s="119" t="b">
        <f>D7=W7</f>
        <v>0</v>
      </c>
      <c r="W7" s="119" t="s">
        <v>1114</v>
      </c>
      <c r="X7" s="107" t="s">
        <v>1269</v>
      </c>
      <c r="Y7" s="120"/>
      <c r="Z7" s="120" t="s">
        <v>1270</v>
      </c>
      <c r="AA7" s="120" t="s">
        <v>1113</v>
      </c>
      <c r="AB7" s="121">
        <v>97</v>
      </c>
      <c r="AD7" s="2">
        <v>2</v>
      </c>
      <c r="AE7" s="122" t="s">
        <v>1112</v>
      </c>
      <c r="AF7" s="122" t="s">
        <v>201</v>
      </c>
      <c r="AG7" s="123">
        <v>98</v>
      </c>
      <c r="AH7" s="2" t="b">
        <f>AE7=D7</f>
        <v>1</v>
      </c>
    </row>
    <row r="8" spans="1:35">
      <c r="A8" s="2" t="s">
        <v>1178</v>
      </c>
      <c r="B8" s="2">
        <v>3</v>
      </c>
      <c r="C8" s="137">
        <f>IF(J8=J6,"=1",IF(18=J7,"=2",3))</f>
        <v>3</v>
      </c>
      <c r="D8" s="138" t="s">
        <v>1110</v>
      </c>
      <c r="E8" s="138" t="s">
        <v>19</v>
      </c>
      <c r="F8" s="138">
        <v>70</v>
      </c>
      <c r="G8" s="138">
        <v>4</v>
      </c>
      <c r="H8" s="110" t="e">
        <f>IF(I8="No","Insufficient races",IF(I8="N/A","No runner",IF(C8="=1","Joint Winner",IF(C8="=2","Joint second","OK")))) &amp; " "&amp;IF(L8=1,"1st East Sussex","")</f>
        <v>#NAME?</v>
      </c>
      <c r="I8" s="110" t="e">
        <f>IF(D8="No Match","N/A",IF(G8&lt;G$3,"No","OK"))</f>
        <v>#NAME?</v>
      </c>
      <c r="J8" s="138">
        <v>70.026619999999994</v>
      </c>
      <c r="K8" s="194" t="s">
        <v>1330</v>
      </c>
      <c r="L8" s="197" t="e">
        <f>AND(K8="Y",K7="N",K6="N",I8="OK")*1</f>
        <v>#NAME?</v>
      </c>
      <c r="M8" s="196" t="e">
        <f t="shared" si="0"/>
        <v>#NAME?</v>
      </c>
      <c r="N8" s="142">
        <v>0</v>
      </c>
      <c r="O8" s="143">
        <v>0</v>
      </c>
      <c r="P8" s="144">
        <v>0</v>
      </c>
      <c r="Q8" s="143">
        <v>0</v>
      </c>
      <c r="R8" s="145">
        <v>1</v>
      </c>
      <c r="S8" s="117">
        <f>IF(D8="No match","N/A",F8-T8)</f>
        <v>5.9984379999999931</v>
      </c>
      <c r="T8" s="147">
        <v>64.001562000000007</v>
      </c>
      <c r="U8" s="147">
        <v>4</v>
      </c>
      <c r="V8" s="119" t="b">
        <f>D8=W8</f>
        <v>0</v>
      </c>
      <c r="W8" s="119" t="s">
        <v>1111</v>
      </c>
      <c r="X8" s="107" t="s">
        <v>1271</v>
      </c>
      <c r="Y8" s="120"/>
      <c r="Z8" s="120" t="s">
        <v>1272</v>
      </c>
      <c r="AA8" s="120" t="s">
        <v>84</v>
      </c>
      <c r="AB8" s="121">
        <v>84</v>
      </c>
      <c r="AD8" s="2">
        <v>3</v>
      </c>
      <c r="AE8" s="122" t="s">
        <v>1110</v>
      </c>
      <c r="AF8" s="122" t="s">
        <v>19</v>
      </c>
      <c r="AG8" s="123">
        <v>93</v>
      </c>
      <c r="AH8" s="2" t="b">
        <f>AE8=D8</f>
        <v>1</v>
      </c>
    </row>
    <row r="9" spans="1:35"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07"/>
      <c r="Y9" s="127"/>
      <c r="Z9" s="127"/>
      <c r="AA9" s="127"/>
      <c r="AB9" s="128"/>
      <c r="AE9" s="107"/>
      <c r="AF9" s="107"/>
      <c r="AG9" s="119"/>
    </row>
    <row r="10" spans="1:35">
      <c r="A10" s="72"/>
      <c r="B10" s="72"/>
      <c r="C10" s="104" t="s">
        <v>1273</v>
      </c>
      <c r="D10" s="104"/>
      <c r="E10" s="104"/>
      <c r="F10" s="104"/>
      <c r="G10" s="104"/>
      <c r="I10" s="106"/>
      <c r="J10" s="104"/>
      <c r="K10" s="106"/>
      <c r="L10" s="106"/>
      <c r="M10" s="133"/>
      <c r="N10" s="133"/>
      <c r="O10" s="133"/>
      <c r="P10" s="133"/>
      <c r="Q10" s="133"/>
      <c r="R10" s="133"/>
      <c r="S10" s="133"/>
      <c r="T10" s="133"/>
      <c r="U10" s="133"/>
      <c r="V10" s="119"/>
      <c r="W10" s="133"/>
      <c r="X10" s="107"/>
      <c r="Y10" s="108"/>
      <c r="Z10" s="108"/>
      <c r="AA10" s="108"/>
      <c r="AB10" s="134"/>
      <c r="AD10" s="2" t="s">
        <v>1273</v>
      </c>
      <c r="AE10" s="135"/>
      <c r="AF10" s="135"/>
      <c r="AG10" s="136"/>
    </row>
    <row r="11" spans="1:35">
      <c r="A11" s="2" t="s">
        <v>1191</v>
      </c>
      <c r="B11" s="2">
        <v>1</v>
      </c>
      <c r="C11" s="137">
        <f>IF(J11=J12,"=1",1)</f>
        <v>1</v>
      </c>
      <c r="D11" s="138" t="s">
        <v>1119</v>
      </c>
      <c r="E11" s="138" t="s">
        <v>1113</v>
      </c>
      <c r="F11" s="138">
        <v>75</v>
      </c>
      <c r="G11" s="138">
        <v>4</v>
      </c>
      <c r="H11" s="110" t="e">
        <f>IF(I11="No","Insufficient races",IF(I11="N/A","No runner",IF(C11="=1","Joint Winner",IF(C11="=2","Joint second","OK")))) &amp; " "&amp;IF(L11=1,"1st East Sussex","")</f>
        <v>#NAME?</v>
      </c>
      <c r="I11" s="110" t="e">
        <f>IF(D11="No Match","N/A",IF(G11&lt;G$3,"No","OK"))</f>
        <v>#NAME?</v>
      </c>
      <c r="J11" s="138">
        <v>75.027749999999997</v>
      </c>
      <c r="K11" s="194" t="s">
        <v>1331</v>
      </c>
      <c r="L11" s="195"/>
      <c r="M11" s="196" t="e">
        <f>IF(OR(D11="No match",I11="No"),"N/A",IF(R11=1,"OK",IF(X11="No qualifing runner","No prev","No")))</f>
        <v>#NAME?</v>
      </c>
      <c r="N11" s="142">
        <v>0</v>
      </c>
      <c r="O11" s="143">
        <v>0</v>
      </c>
      <c r="P11" s="144">
        <v>0</v>
      </c>
      <c r="Q11" s="143">
        <v>0</v>
      </c>
      <c r="R11" s="145">
        <v>1</v>
      </c>
      <c r="S11" s="117">
        <f>IF(D11="No match","N/A",F11-T11)</f>
        <v>0.97475999999998919</v>
      </c>
      <c r="T11" s="147">
        <v>74.025240000000011</v>
      </c>
      <c r="U11" s="147">
        <v>4</v>
      </c>
      <c r="V11" s="119" t="b">
        <f>D11=W11</f>
        <v>1</v>
      </c>
      <c r="W11" s="119" t="s">
        <v>1119</v>
      </c>
      <c r="X11" s="107" t="s">
        <v>1274</v>
      </c>
      <c r="Y11" s="120"/>
      <c r="Z11" s="120" t="s">
        <v>1275</v>
      </c>
      <c r="AA11" s="120" t="s">
        <v>84</v>
      </c>
      <c r="AB11" s="121">
        <v>80</v>
      </c>
      <c r="AD11" s="2">
        <v>1</v>
      </c>
      <c r="AE11" s="122" t="s">
        <v>1119</v>
      </c>
      <c r="AF11" s="122" t="s">
        <v>84</v>
      </c>
      <c r="AG11" s="123">
        <v>97</v>
      </c>
      <c r="AH11" s="2" t="b">
        <f>AE11=D11</f>
        <v>1</v>
      </c>
      <c r="AI11" s="1" t="s">
        <v>1276</v>
      </c>
    </row>
    <row r="12" spans="1:35">
      <c r="A12" s="2" t="s">
        <v>1192</v>
      </c>
      <c r="B12" s="2">
        <v>2</v>
      </c>
      <c r="C12" s="137">
        <f>IF(J12=J11,"=1",2)</f>
        <v>2</v>
      </c>
      <c r="D12" s="138" t="s">
        <v>1120</v>
      </c>
      <c r="E12" s="138" t="s">
        <v>38</v>
      </c>
      <c r="F12" s="138">
        <v>72</v>
      </c>
      <c r="G12" s="138">
        <v>5</v>
      </c>
      <c r="H12" s="110" t="e">
        <f>IF(I12="No","Insufficient races",IF(I12="N/A","No runner",IF(C12="=1","Joint Winner",IF(C12="=2","Joint second","OK")))) &amp; " "&amp;IF(L12=1,"1st East Sussex","")</f>
        <v>#NAME?</v>
      </c>
      <c r="I12" s="110" t="e">
        <f>IF(D12="No Match","N/A",IF(G12&lt;G$3,"No","OK"))</f>
        <v>#NAME?</v>
      </c>
      <c r="J12" s="138">
        <v>72.02664</v>
      </c>
      <c r="K12" s="194" t="s">
        <v>1330</v>
      </c>
      <c r="L12" s="197" t="e">
        <f>AND(K12="Y",K11="N",I12="OK")*1</f>
        <v>#NAME?</v>
      </c>
      <c r="M12" s="196" t="e">
        <f t="shared" ref="M12:M13" si="1">IF(OR(D12="No match",I12="No"),"N/A",IF(R12=1,"OK",IF(X12="No qualifing runner","No prev","No")))</f>
        <v>#NAME?</v>
      </c>
      <c r="N12" s="142">
        <v>0</v>
      </c>
      <c r="O12" s="143">
        <v>0</v>
      </c>
      <c r="P12" s="144">
        <v>0</v>
      </c>
      <c r="Q12" s="143">
        <v>0</v>
      </c>
      <c r="R12" s="145">
        <v>1</v>
      </c>
      <c r="S12" s="117">
        <f>IF(D12="No match","N/A",F12-T12)</f>
        <v>3.9760820000000052</v>
      </c>
      <c r="T12" s="147">
        <v>68.023917999999995</v>
      </c>
      <c r="U12" s="147">
        <v>5</v>
      </c>
      <c r="V12" s="119" t="b">
        <f>D12=W12</f>
        <v>0</v>
      </c>
      <c r="W12" s="119" t="s">
        <v>1123</v>
      </c>
      <c r="X12" s="107" t="s">
        <v>1277</v>
      </c>
      <c r="Y12" s="120"/>
      <c r="Z12" s="120" t="s">
        <v>1278</v>
      </c>
      <c r="AA12" s="120" t="s">
        <v>84</v>
      </c>
      <c r="AB12" s="121">
        <v>69</v>
      </c>
      <c r="AD12" s="2">
        <v>2</v>
      </c>
      <c r="AE12" s="122" t="s">
        <v>1120</v>
      </c>
      <c r="AF12" s="122" t="s">
        <v>57</v>
      </c>
      <c r="AG12" s="123">
        <v>95</v>
      </c>
      <c r="AH12" s="2" t="b">
        <f>AE12=D12</f>
        <v>1</v>
      </c>
    </row>
    <row r="13" spans="1:35">
      <c r="A13" s="2" t="s">
        <v>1193</v>
      </c>
      <c r="B13" s="2">
        <v>3</v>
      </c>
      <c r="C13" s="137">
        <f>IF(J13=J11,"=1",IF(18=J12,"=2",3))</f>
        <v>3</v>
      </c>
      <c r="D13" s="138" t="s">
        <v>1123</v>
      </c>
      <c r="E13" s="138" t="s">
        <v>29</v>
      </c>
      <c r="F13" s="138">
        <v>70</v>
      </c>
      <c r="G13" s="138">
        <v>5</v>
      </c>
      <c r="H13" s="110" t="e">
        <f>IF(I13="No","Insufficient races",IF(I13="N/A","No runner",IF(C13="=1","Joint Winner",IF(C13="=2","Joint second","OK")))) &amp; " "&amp;IF(L13=1,"1st East Sussex","")</f>
        <v>#NAME?</v>
      </c>
      <c r="I13" s="110" t="e">
        <f>IF(D13="No Match","N/A",IF(G13&lt;G$3,"No","OK"))</f>
        <v>#NAME?</v>
      </c>
      <c r="J13" s="138">
        <v>70.027519999999996</v>
      </c>
      <c r="K13" s="194" t="s">
        <v>1330</v>
      </c>
      <c r="L13" s="197" t="e">
        <f>AND(K13="Y",K12="N",K11="N",I13="OK")*1</f>
        <v>#NAME?</v>
      </c>
      <c r="M13" s="196" t="e">
        <f t="shared" si="1"/>
        <v>#NAME?</v>
      </c>
      <c r="N13" s="142">
        <v>0</v>
      </c>
      <c r="O13" s="143">
        <v>0</v>
      </c>
      <c r="P13" s="144">
        <v>0</v>
      </c>
      <c r="Q13" s="143">
        <v>0</v>
      </c>
      <c r="R13" s="145">
        <v>1</v>
      </c>
      <c r="S13" s="117">
        <f>IF(D13="No match","N/A",F13-T13)</f>
        <v>-2.2571999999996706E-2</v>
      </c>
      <c r="T13" s="147">
        <v>70.022571999999997</v>
      </c>
      <c r="U13" s="147">
        <v>5</v>
      </c>
      <c r="V13" s="119" t="b">
        <f>D13=W13</f>
        <v>0</v>
      </c>
      <c r="W13" s="119" t="s">
        <v>1120</v>
      </c>
      <c r="X13" s="107" t="s">
        <v>1279</v>
      </c>
      <c r="Y13" s="120"/>
      <c r="Z13" s="120" t="s">
        <v>1280</v>
      </c>
      <c r="AA13" s="120" t="s">
        <v>38</v>
      </c>
      <c r="AB13" s="121">
        <v>67</v>
      </c>
      <c r="AD13" s="2">
        <v>3</v>
      </c>
      <c r="AE13" s="122" t="s">
        <v>1123</v>
      </c>
      <c r="AF13" s="122" t="s">
        <v>19</v>
      </c>
      <c r="AG13" s="123">
        <v>93</v>
      </c>
      <c r="AH13" s="2" t="b">
        <f>AE13=D13</f>
        <v>1</v>
      </c>
    </row>
    <row r="14" spans="1:35"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07"/>
      <c r="Y14" s="127"/>
      <c r="Z14" s="127"/>
      <c r="AA14" s="127"/>
      <c r="AB14" s="128"/>
      <c r="AE14" s="107"/>
      <c r="AF14" s="107"/>
      <c r="AG14" s="119"/>
    </row>
    <row r="15" spans="1:35">
      <c r="A15" s="72"/>
      <c r="B15" s="72"/>
      <c r="C15" s="104" t="s">
        <v>1281</v>
      </c>
      <c r="D15" s="104"/>
      <c r="E15" s="104"/>
      <c r="F15" s="104"/>
      <c r="G15" s="104"/>
      <c r="I15" s="106"/>
      <c r="J15" s="104"/>
      <c r="K15" s="106"/>
      <c r="L15" s="106"/>
      <c r="M15" s="119"/>
      <c r="N15" s="119"/>
      <c r="O15" s="119"/>
      <c r="P15" s="119"/>
      <c r="Q15" s="119"/>
      <c r="R15" s="119"/>
      <c r="S15" s="119"/>
      <c r="T15" s="119"/>
      <c r="U15" s="119"/>
      <c r="V15" s="133"/>
      <c r="W15" s="119"/>
      <c r="X15" s="107"/>
      <c r="Y15" s="108"/>
      <c r="Z15" s="108"/>
      <c r="AA15" s="108"/>
      <c r="AB15" s="134"/>
      <c r="AD15" s="1" t="s">
        <v>1281</v>
      </c>
      <c r="AE15" s="135"/>
      <c r="AF15" s="135"/>
      <c r="AG15" s="136"/>
    </row>
    <row r="16" spans="1:35">
      <c r="A16" s="2" t="s">
        <v>1208</v>
      </c>
      <c r="B16" s="2">
        <v>1</v>
      </c>
      <c r="C16" s="137">
        <f>IF(J16=J17,"=1",1)</f>
        <v>1</v>
      </c>
      <c r="D16" s="138" t="s">
        <v>1134</v>
      </c>
      <c r="E16" s="138" t="s">
        <v>57</v>
      </c>
      <c r="F16" s="138">
        <v>60</v>
      </c>
      <c r="G16" s="138">
        <v>4</v>
      </c>
      <c r="H16" s="110" t="e">
        <f>IF(I16="No","Insufficient races",IF(I16="N/A","No runner",IF(C16="=1","Joint Winner",IF(C16="=2","Joint second","OK")))) &amp; " "&amp;IF(L16=1,"1st East Sussex","")</f>
        <v>#NAME?</v>
      </c>
      <c r="I16" s="110" t="e">
        <f>IF(D16="No Match","N/A",IF(G16&lt;G$3,"No","OK"))</f>
        <v>#NAME?</v>
      </c>
      <c r="J16" s="138">
        <v>60.022199999999998</v>
      </c>
      <c r="K16" s="194" t="s">
        <v>1330</v>
      </c>
      <c r="L16" s="195"/>
      <c r="M16" s="196" t="e">
        <f>IF(OR(D16="No match",I16="No"),"N/A",IF(R16=1,"OK",IF(X16="No qualifing runner","No prev","No")))</f>
        <v>#NAME?</v>
      </c>
      <c r="N16" s="142">
        <v>0</v>
      </c>
      <c r="O16" s="143">
        <v>0</v>
      </c>
      <c r="P16" s="144">
        <v>0</v>
      </c>
      <c r="Q16" s="143">
        <v>0</v>
      </c>
      <c r="R16" s="145">
        <v>1</v>
      </c>
      <c r="S16" s="117">
        <f>IF(D16="No match","N/A",F16-T16)</f>
        <v>-1.6900000000006798E-2</v>
      </c>
      <c r="T16" s="147">
        <v>60.016900000000007</v>
      </c>
      <c r="U16" s="147">
        <v>4</v>
      </c>
      <c r="V16" s="119" t="b">
        <f>D16=W16</f>
        <v>1</v>
      </c>
      <c r="W16" s="119" t="s">
        <v>1134</v>
      </c>
      <c r="X16" s="107" t="s">
        <v>1134</v>
      </c>
      <c r="Y16" s="120"/>
      <c r="Z16" s="120" t="s">
        <v>1282</v>
      </c>
      <c r="AA16" s="120" t="s">
        <v>57</v>
      </c>
      <c r="AB16" s="121">
        <v>79</v>
      </c>
      <c r="AD16" s="2">
        <v>1</v>
      </c>
      <c r="AE16" s="122" t="s">
        <v>1134</v>
      </c>
      <c r="AF16" s="122" t="s">
        <v>57</v>
      </c>
      <c r="AG16" s="123">
        <v>79</v>
      </c>
      <c r="AH16" s="2" t="b">
        <f>AE16=D16</f>
        <v>1</v>
      </c>
    </row>
    <row r="17" spans="1:34">
      <c r="A17" s="2" t="s">
        <v>1209</v>
      </c>
      <c r="B17" s="2">
        <v>2</v>
      </c>
      <c r="C17" s="137">
        <f>IF(J17=J16,"=1",2)</f>
        <v>2</v>
      </c>
      <c r="D17" s="138" t="s">
        <v>1135</v>
      </c>
      <c r="E17" s="138" t="s">
        <v>57</v>
      </c>
      <c r="F17" s="138">
        <v>57</v>
      </c>
      <c r="G17" s="138">
        <v>4</v>
      </c>
      <c r="H17" s="110" t="e">
        <f>IF(I17="No","Insufficient races",IF(I17="N/A","No runner",IF(C17="=1","Joint Winner",IF(C17="=2","Joint second","OK")))) &amp; " "&amp;IF(L17=1,"1st East Sussex","")</f>
        <v>#NAME?</v>
      </c>
      <c r="I17" s="110" t="e">
        <f>IF(D17="No Match","N/A",IF(G17&lt;G$3,"No","OK"))</f>
        <v>#NAME?</v>
      </c>
      <c r="J17" s="138">
        <v>57.021090000000001</v>
      </c>
      <c r="K17" s="194" t="s">
        <v>1330</v>
      </c>
      <c r="L17" s="197" t="e">
        <f>AND(K17="Y",K16="N",I17="OK")*1</f>
        <v>#NAME?</v>
      </c>
      <c r="M17" s="196" t="e">
        <f t="shared" ref="M17:M18" si="2">IF(OR(D17="No match",I17="No"),"N/A",IF(R17=1,"OK",IF(X17="No qualifing runner","No prev","No")))</f>
        <v>#NAME?</v>
      </c>
      <c r="N17" s="142">
        <v>0</v>
      </c>
      <c r="O17" s="143">
        <v>0</v>
      </c>
      <c r="P17" s="144">
        <v>0</v>
      </c>
      <c r="Q17" s="143">
        <v>0</v>
      </c>
      <c r="R17" s="145">
        <v>1</v>
      </c>
      <c r="S17" s="117">
        <f>IF(D17="No match","N/A",F17-T17)</f>
        <v>-1.5689999999999316E-2</v>
      </c>
      <c r="T17" s="147">
        <v>57.015689999999999</v>
      </c>
      <c r="U17" s="147">
        <v>4</v>
      </c>
      <c r="V17" s="119" t="b">
        <f>D17=W17</f>
        <v>1</v>
      </c>
      <c r="W17" s="119" t="s">
        <v>1135</v>
      </c>
      <c r="X17" s="107" t="s">
        <v>1283</v>
      </c>
      <c r="Y17" s="120"/>
      <c r="Z17" s="120" t="s">
        <v>1284</v>
      </c>
      <c r="AA17" s="120" t="s">
        <v>47</v>
      </c>
      <c r="AB17" s="121">
        <v>78</v>
      </c>
      <c r="AD17" s="2">
        <v>2</v>
      </c>
      <c r="AE17" s="122" t="s">
        <v>1135</v>
      </c>
      <c r="AF17" s="122" t="s">
        <v>84</v>
      </c>
      <c r="AG17" s="123">
        <v>75</v>
      </c>
      <c r="AH17" s="2" t="b">
        <f>AE17=D17</f>
        <v>1</v>
      </c>
    </row>
    <row r="18" spans="1:34">
      <c r="A18" s="2" t="s">
        <v>1210</v>
      </c>
      <c r="B18" s="2">
        <v>3</v>
      </c>
      <c r="C18" s="137">
        <f>IF(J18=J16,"=1",IF(18=J17,"=2",3))</f>
        <v>3</v>
      </c>
      <c r="D18" s="138" t="s">
        <v>1136</v>
      </c>
      <c r="E18" s="138" t="s">
        <v>19</v>
      </c>
      <c r="F18" s="138">
        <v>56</v>
      </c>
      <c r="G18" s="138">
        <v>5</v>
      </c>
      <c r="H18" s="110" t="e">
        <f>IF(I18="No","Insufficient races",IF(I18="N/A","No runner",IF(C18="=1","Joint Winner",IF(C18="=2","Joint second","OK")))) &amp; " "&amp;IF(L18=1,"1st East Sussex","")</f>
        <v>#NAME?</v>
      </c>
      <c r="I18" s="110" t="e">
        <f>IF(D18="No Match","N/A",IF(G18&lt;G$3,"No","OK"))</f>
        <v>#NAME?</v>
      </c>
      <c r="J18" s="138">
        <v>56.021979999999999</v>
      </c>
      <c r="K18" s="194" t="s">
        <v>1330</v>
      </c>
      <c r="L18" s="197" t="e">
        <f>AND(K18="Y",K17="N",K16="N",I18="OK")*1</f>
        <v>#NAME?</v>
      </c>
      <c r="M18" s="196" t="e">
        <f t="shared" si="2"/>
        <v>#NAME?</v>
      </c>
      <c r="N18" s="142">
        <v>0</v>
      </c>
      <c r="O18" s="143">
        <v>0</v>
      </c>
      <c r="P18" s="144">
        <v>0</v>
      </c>
      <c r="Q18" s="143">
        <v>0</v>
      </c>
      <c r="R18" s="145">
        <v>1</v>
      </c>
      <c r="S18" s="117">
        <f>IF(D18="No match","N/A",F18-T18)</f>
        <v>-1.4518000000002473E-2</v>
      </c>
      <c r="T18" s="147">
        <v>56.014518000000002</v>
      </c>
      <c r="U18" s="147">
        <v>5</v>
      </c>
      <c r="V18" s="119" t="b">
        <f>D18=W18</f>
        <v>1</v>
      </c>
      <c r="W18" s="119" t="s">
        <v>1136</v>
      </c>
      <c r="X18" s="107" t="s">
        <v>1283</v>
      </c>
      <c r="Y18" s="120"/>
      <c r="Z18" s="120" t="s">
        <v>1285</v>
      </c>
      <c r="AA18" s="120" t="s">
        <v>38</v>
      </c>
      <c r="AB18" s="121">
        <v>74</v>
      </c>
      <c r="AD18" s="2">
        <v>3</v>
      </c>
      <c r="AE18" s="122" t="s">
        <v>1136</v>
      </c>
      <c r="AF18" s="122" t="s">
        <v>201</v>
      </c>
      <c r="AG18" s="123">
        <v>71</v>
      </c>
      <c r="AH18" s="2" t="b">
        <f>AE18=D18</f>
        <v>1</v>
      </c>
    </row>
    <row r="19" spans="1:34"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07"/>
      <c r="Y19" s="127"/>
      <c r="Z19" s="127"/>
      <c r="AA19" s="127"/>
      <c r="AB19" s="128"/>
      <c r="AE19" s="107"/>
      <c r="AF19" s="107"/>
      <c r="AG19" s="119"/>
    </row>
    <row r="20" spans="1:34">
      <c r="A20" s="72"/>
      <c r="B20" s="72"/>
      <c r="C20" s="104" t="s">
        <v>1286</v>
      </c>
      <c r="D20" s="104"/>
      <c r="E20" s="104"/>
      <c r="F20" s="104"/>
      <c r="G20" s="104"/>
      <c r="I20" s="106"/>
      <c r="J20" s="104"/>
      <c r="K20" s="106"/>
      <c r="L20" s="106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07"/>
      <c r="Y20" s="108"/>
      <c r="Z20" s="108"/>
      <c r="AA20" s="108"/>
      <c r="AB20" s="134"/>
      <c r="AD20" s="2" t="s">
        <v>1286</v>
      </c>
      <c r="AE20" s="135"/>
      <c r="AF20" s="135"/>
      <c r="AG20" s="136"/>
    </row>
    <row r="21" spans="1:34">
      <c r="A21" s="2" t="s">
        <v>1217</v>
      </c>
      <c r="B21" s="2">
        <v>1</v>
      </c>
      <c r="C21" s="137" t="str">
        <f>IF(J21=J22,"=1",1)</f>
        <v>=1</v>
      </c>
      <c r="D21" s="138" t="s">
        <v>1144</v>
      </c>
      <c r="E21" s="138" t="s">
        <v>57</v>
      </c>
      <c r="F21" s="138">
        <v>59</v>
      </c>
      <c r="G21" s="138">
        <v>5</v>
      </c>
      <c r="H21" s="110" t="e">
        <f>IF(I21="No","Insufficient races",IF(I21="N/A","No runner",IF(C21="=1","Joint Winner",IF(C21="=2","Joint second","OK")))) &amp; " "&amp;IF(L21=1,"1st East Sussex","")</f>
        <v>#NAME?</v>
      </c>
      <c r="I21" s="110" t="e">
        <f>IF(D21="No Match","N/A",IF(G21&lt;G$3,"No","OK"))</f>
        <v>#NAME?</v>
      </c>
      <c r="J21" s="138">
        <v>59.022190000000002</v>
      </c>
      <c r="K21" s="194" t="s">
        <v>1330</v>
      </c>
      <c r="L21" s="195"/>
      <c r="M21" s="196" t="e">
        <f>IF(OR(D21="No match",I21="No"),"N/A",IF(R21=1,"OK",IF(X21="No qualifing runner","No prev","No")))</f>
        <v>#NAME?</v>
      </c>
      <c r="N21" s="142">
        <v>0</v>
      </c>
      <c r="O21" s="143">
        <v>0</v>
      </c>
      <c r="P21" s="144">
        <v>0</v>
      </c>
      <c r="Q21" s="143">
        <v>0</v>
      </c>
      <c r="R21" s="145">
        <v>1</v>
      </c>
      <c r="S21" s="117">
        <f>IF(D21="No match","N/A",F21-T21)</f>
        <v>-1.5508000000004074E-2</v>
      </c>
      <c r="T21" s="147">
        <v>59.015508000000004</v>
      </c>
      <c r="U21" s="147">
        <v>5</v>
      </c>
      <c r="V21" s="119" t="b">
        <f>D21=W21</f>
        <v>1</v>
      </c>
      <c r="W21" s="119" t="s">
        <v>1144</v>
      </c>
      <c r="X21" s="107" t="s">
        <v>1287</v>
      </c>
      <c r="Y21" s="120"/>
      <c r="Z21" s="120" t="s">
        <v>1288</v>
      </c>
      <c r="AA21" s="120" t="s">
        <v>38</v>
      </c>
      <c r="AB21" s="121">
        <v>78</v>
      </c>
      <c r="AD21" s="2">
        <v>1</v>
      </c>
      <c r="AE21" s="122" t="s">
        <v>1144</v>
      </c>
      <c r="AF21" s="122" t="s">
        <v>57</v>
      </c>
      <c r="AG21" s="123">
        <v>80</v>
      </c>
      <c r="AH21" s="2" t="b">
        <f>AE21=D21</f>
        <v>1</v>
      </c>
    </row>
    <row r="22" spans="1:34">
      <c r="A22" s="2" t="s">
        <v>1218</v>
      </c>
      <c r="B22" s="2">
        <v>2</v>
      </c>
      <c r="C22" s="137" t="str">
        <f>IF(J22=J21,"=1",2)</f>
        <v>=1</v>
      </c>
      <c r="D22" s="138" t="s">
        <v>1142</v>
      </c>
      <c r="E22" s="138" t="s">
        <v>19</v>
      </c>
      <c r="F22" s="138">
        <v>59</v>
      </c>
      <c r="G22" s="138">
        <v>5</v>
      </c>
      <c r="H22" s="110" t="e">
        <f>IF(I22="No","Insufficient races",IF(I22="N/A","No runner",IF(C22="=1","Joint Winner",IF(C22="=2","Joint second","OK")))) &amp; " "&amp;IF(L22=1,"1st East Sussex","")</f>
        <v>#NAME?</v>
      </c>
      <c r="I22" s="110" t="e">
        <f>IF(D22="No Match","N/A",IF(G22&lt;G$3,"No","OK"))</f>
        <v>#NAME?</v>
      </c>
      <c r="J22" s="138">
        <v>59.022190000000002</v>
      </c>
      <c r="K22" s="194" t="s">
        <v>1330</v>
      </c>
      <c r="L22" s="197" t="e">
        <f>AND(K22="Y",K21="N",I22="OK")*1</f>
        <v>#NAME?</v>
      </c>
      <c r="M22" s="196" t="e">
        <f t="shared" ref="M22:M23" si="3">IF(OR(D22="No match",I22="No"),"N/A",IF(R22=1,"OK",IF(X22="No qualifing runner","No prev","No")))</f>
        <v>#NAME?</v>
      </c>
      <c r="N22" s="142">
        <v>0</v>
      </c>
      <c r="O22" s="143">
        <v>0</v>
      </c>
      <c r="P22" s="144">
        <v>0</v>
      </c>
      <c r="Q22" s="143">
        <v>0</v>
      </c>
      <c r="R22" s="145">
        <v>1</v>
      </c>
      <c r="S22" s="117">
        <f>IF(D22="No match","N/A",F22-T22)</f>
        <v>0.9857809999999958</v>
      </c>
      <c r="T22" s="147">
        <v>58.014219000000004</v>
      </c>
      <c r="U22" s="147">
        <v>5</v>
      </c>
      <c r="V22" s="119" t="b">
        <f>D22=W22</f>
        <v>1</v>
      </c>
      <c r="W22" s="119" t="s">
        <v>1142</v>
      </c>
      <c r="X22" s="107" t="s">
        <v>1287</v>
      </c>
      <c r="Y22" s="120"/>
      <c r="Z22" s="120" t="s">
        <v>1289</v>
      </c>
      <c r="AA22" s="120" t="s">
        <v>38</v>
      </c>
      <c r="AB22" s="121">
        <v>68</v>
      </c>
      <c r="AD22" s="2">
        <v>2</v>
      </c>
      <c r="AE22" s="122" t="s">
        <v>1142</v>
      </c>
      <c r="AF22" s="122" t="s">
        <v>19</v>
      </c>
      <c r="AG22" s="123">
        <v>74</v>
      </c>
      <c r="AH22" s="2" t="b">
        <f>AE22=D22</f>
        <v>1</v>
      </c>
    </row>
    <row r="23" spans="1:34">
      <c r="A23" s="2" t="s">
        <v>1219</v>
      </c>
      <c r="B23" s="2">
        <v>3</v>
      </c>
      <c r="C23" s="137">
        <f>IF(J23=J21,"=1",IF(18=J22,"=2",3))</f>
        <v>3</v>
      </c>
      <c r="D23" s="138" t="s">
        <v>1143</v>
      </c>
      <c r="E23" s="138" t="s">
        <v>50</v>
      </c>
      <c r="F23" s="138">
        <v>58</v>
      </c>
      <c r="G23" s="138">
        <v>3</v>
      </c>
      <c r="H23" s="110" t="e">
        <f>IF(I23="No","Insufficient races",IF(I23="N/A","No runner",IF(C23="=1","Joint Winner",IF(C23="=2","Joint second","OK")))) &amp; " "&amp;IF(L23=1,"1st East Sussex","")</f>
        <v>#NAME?</v>
      </c>
      <c r="I23" s="110" t="e">
        <f>IF(D23="No Match","N/A",IF(G23&lt;G$3,"No","OK"))</f>
        <v>#NAME?</v>
      </c>
      <c r="J23" s="138">
        <v>58.022089999999999</v>
      </c>
      <c r="K23" s="194" t="s">
        <v>1330</v>
      </c>
      <c r="L23" s="197" t="e">
        <f>AND(K23="Y",K22="N",K21="N",I23="OK")*1</f>
        <v>#NAME?</v>
      </c>
      <c r="M23" s="196" t="e">
        <f t="shared" si="3"/>
        <v>#NAME?</v>
      </c>
      <c r="N23" s="142">
        <v>0</v>
      </c>
      <c r="O23" s="143">
        <v>0</v>
      </c>
      <c r="P23" s="144">
        <v>0</v>
      </c>
      <c r="Q23" s="143">
        <v>0</v>
      </c>
      <c r="R23" s="145">
        <v>1</v>
      </c>
      <c r="S23" s="117">
        <f>IF(D23="No match","N/A",F23-T23)</f>
        <v>19.005200000000002</v>
      </c>
      <c r="T23" s="147">
        <v>38.994799999999998</v>
      </c>
      <c r="U23" s="147">
        <v>3</v>
      </c>
      <c r="V23" s="119" t="b">
        <f>D23=W23</f>
        <v>0</v>
      </c>
      <c r="W23" s="119" t="s">
        <v>1146</v>
      </c>
      <c r="X23" s="107" t="s">
        <v>1290</v>
      </c>
      <c r="Y23" s="120"/>
      <c r="Z23" s="120" t="s">
        <v>1291</v>
      </c>
      <c r="AA23" s="120" t="s">
        <v>84</v>
      </c>
      <c r="AB23" s="121">
        <v>68</v>
      </c>
      <c r="AD23" s="2">
        <v>3</v>
      </c>
      <c r="AE23" s="122" t="s">
        <v>1143</v>
      </c>
      <c r="AF23" s="122" t="s">
        <v>38</v>
      </c>
      <c r="AG23" s="123">
        <v>68</v>
      </c>
      <c r="AH23" s="2" t="b">
        <f>AE23=D23</f>
        <v>1</v>
      </c>
    </row>
    <row r="24" spans="1:34"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07"/>
      <c r="Y24" s="127"/>
      <c r="Z24" s="127"/>
      <c r="AA24" s="127"/>
      <c r="AB24" s="128"/>
      <c r="AE24" s="107"/>
      <c r="AF24" s="107"/>
      <c r="AG24" s="119"/>
    </row>
    <row r="25" spans="1:34">
      <c r="A25" s="72"/>
      <c r="B25" s="72"/>
      <c r="C25" s="104" t="s">
        <v>1292</v>
      </c>
      <c r="D25" s="104"/>
      <c r="E25" s="104"/>
      <c r="F25" s="104"/>
      <c r="G25" s="104"/>
      <c r="I25" s="106"/>
      <c r="J25" s="104"/>
      <c r="K25" s="106"/>
      <c r="L25" s="106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07"/>
      <c r="Y25" s="108"/>
      <c r="Z25" s="108"/>
      <c r="AA25" s="108"/>
      <c r="AB25" s="134"/>
      <c r="AD25" s="1" t="s">
        <v>1292</v>
      </c>
      <c r="AE25" s="135"/>
      <c r="AF25" s="135"/>
      <c r="AG25" s="136"/>
    </row>
    <row r="26" spans="1:34">
      <c r="A26" s="2" t="s">
        <v>1231</v>
      </c>
      <c r="B26" s="2">
        <v>1</v>
      </c>
      <c r="C26" s="137">
        <f>IF(J26=J27,"=1",1)</f>
        <v>1</v>
      </c>
      <c r="D26" s="138" t="s">
        <v>1150</v>
      </c>
      <c r="E26" s="138" t="s">
        <v>201</v>
      </c>
      <c r="F26" s="138">
        <v>45</v>
      </c>
      <c r="G26" s="138">
        <v>5</v>
      </c>
      <c r="H26" s="110" t="e">
        <f>IF(I26="No","Insufficient races",IF(I26="N/A","No runner",IF(C26="=1","Joint Winner",IF(C26="=2","Joint second","OK")))) &amp; " "&amp;IF(L26=1,"1st East Sussex","")</f>
        <v>#NAME?</v>
      </c>
      <c r="I26" s="110" t="e">
        <f>IF(D26="No Match","N/A",IF(G26&lt;G$3,"No","OK"))</f>
        <v>#NAME?</v>
      </c>
      <c r="J26" s="138">
        <v>45.016649999999998</v>
      </c>
      <c r="K26" s="194" t="s">
        <v>1331</v>
      </c>
      <c r="L26" s="195"/>
      <c r="M26" s="196" t="e">
        <f>IF(OR(D26="No match",I26="No"),"N/A",IF(R26=1,"OK",IF(X26="No qualifing runner","No prev","No")))</f>
        <v>#NAME?</v>
      </c>
      <c r="N26" s="142">
        <v>0</v>
      </c>
      <c r="O26" s="143">
        <v>0</v>
      </c>
      <c r="P26" s="144">
        <v>0</v>
      </c>
      <c r="Q26" s="143">
        <v>0</v>
      </c>
      <c r="R26" s="145">
        <v>1</v>
      </c>
      <c r="S26" s="117">
        <f>IF(D26="No match","N/A",F26-T26)</f>
        <v>-7.9649999999986676E-3</v>
      </c>
      <c r="T26" s="147">
        <v>45.007964999999999</v>
      </c>
      <c r="U26" s="147">
        <v>5</v>
      </c>
      <c r="V26" s="119" t="b">
        <f>D26=W26</f>
        <v>1</v>
      </c>
      <c r="W26" s="119" t="s">
        <v>1150</v>
      </c>
      <c r="X26" s="107" t="s">
        <v>1150</v>
      </c>
      <c r="Y26" s="120"/>
      <c r="Z26" s="120" t="s">
        <v>1293</v>
      </c>
      <c r="AA26" s="120" t="s">
        <v>1113</v>
      </c>
      <c r="AB26" s="121">
        <v>60</v>
      </c>
      <c r="AD26" s="2">
        <v>1</v>
      </c>
      <c r="AE26" s="122" t="s">
        <v>1150</v>
      </c>
      <c r="AF26" s="122" t="s">
        <v>201</v>
      </c>
      <c r="AG26" s="123">
        <v>60</v>
      </c>
      <c r="AH26" s="2" t="b">
        <f>AE26=D26</f>
        <v>1</v>
      </c>
    </row>
    <row r="27" spans="1:34">
      <c r="A27" s="2" t="s">
        <v>1232</v>
      </c>
      <c r="B27" s="2">
        <v>2</v>
      </c>
      <c r="C27" s="137">
        <f>IF(J27=J26,"=1",2)</f>
        <v>2</v>
      </c>
      <c r="D27" s="138" t="s">
        <v>1151</v>
      </c>
      <c r="E27" s="138" t="s">
        <v>38</v>
      </c>
      <c r="F27" s="138">
        <v>40</v>
      </c>
      <c r="G27" s="138">
        <v>5</v>
      </c>
      <c r="H27" s="110" t="e">
        <f>IF(I27="No","Insufficient races",IF(I27="N/A","No runner",IF(C27="=1","Joint Winner",IF(C27="=2","Joint second","OK")))) &amp; " "&amp;IF(L27=1,"1st East Sussex","")</f>
        <v>#NAME?</v>
      </c>
      <c r="I27" s="110" t="e">
        <f>IF(D27="No Match","N/A",IF(G27&lt;G$3,"No","OK"))</f>
        <v>#NAME?</v>
      </c>
      <c r="J27" s="138">
        <v>40.015520000000002</v>
      </c>
      <c r="K27" s="194" t="s">
        <v>1330</v>
      </c>
      <c r="L27" s="197" t="e">
        <f>AND(K27="Y",K26="N",I27="OK")*1</f>
        <v>#NAME?</v>
      </c>
      <c r="M27" s="196" t="e">
        <f t="shared" ref="M27:M28" si="4">IF(OR(D27="No match",I27="No"),"N/A",IF(R27=1,"OK",IF(X27="No qualifing runner","No prev","No")))</f>
        <v>#NAME?</v>
      </c>
      <c r="N27" s="142">
        <v>0</v>
      </c>
      <c r="O27" s="143">
        <v>0</v>
      </c>
      <c r="P27" s="144">
        <v>0</v>
      </c>
      <c r="Q27" s="143">
        <v>0</v>
      </c>
      <c r="R27" s="145">
        <v>1</v>
      </c>
      <c r="S27" s="117">
        <f>IF(D27="No match","N/A",F27-T27)</f>
        <v>2.9964489999999984</v>
      </c>
      <c r="T27" s="147">
        <v>37.003551000000002</v>
      </c>
      <c r="U27" s="147">
        <v>5</v>
      </c>
      <c r="V27" s="119" t="b">
        <f>D27=W27</f>
        <v>1</v>
      </c>
      <c r="W27" s="119" t="s">
        <v>1151</v>
      </c>
      <c r="X27" s="107" t="s">
        <v>1294</v>
      </c>
      <c r="Y27" s="120"/>
      <c r="Z27" s="120" t="s">
        <v>1295</v>
      </c>
      <c r="AA27" s="120" t="s">
        <v>201</v>
      </c>
      <c r="AB27" s="121">
        <v>58</v>
      </c>
      <c r="AD27" s="2">
        <v>2</v>
      </c>
      <c r="AE27" s="122" t="s">
        <v>1151</v>
      </c>
      <c r="AF27" s="122" t="s">
        <v>38</v>
      </c>
      <c r="AG27" s="123">
        <v>59</v>
      </c>
      <c r="AH27" s="2" t="b">
        <f>AE27=D27</f>
        <v>1</v>
      </c>
    </row>
    <row r="28" spans="1:34">
      <c r="A28" s="2" t="s">
        <v>1233</v>
      </c>
      <c r="B28" s="2">
        <v>3</v>
      </c>
      <c r="C28" s="137">
        <f>IF(J28=J26,"=1",IF(18=J27,"=2",3))</f>
        <v>3</v>
      </c>
      <c r="D28" s="138" t="s">
        <v>1152</v>
      </c>
      <c r="E28" s="138" t="s">
        <v>84</v>
      </c>
      <c r="F28" s="138">
        <v>38</v>
      </c>
      <c r="G28" s="138">
        <v>5</v>
      </c>
      <c r="H28" s="110" t="e">
        <f>IF(I28="No","Insufficient races",IF(I28="N/A","No runner",IF(C28="=1","Joint Winner",IF(C28="=2","Joint second","OK")))) &amp; " "&amp;IF(L28=1,"1st East Sussex","")</f>
        <v>#NAME?</v>
      </c>
      <c r="I28" s="110" t="e">
        <f>IF(D28="No Match","N/A",IF(G28&lt;G$3,"No","OK"))</f>
        <v>#NAME?</v>
      </c>
      <c r="J28" s="138">
        <v>38.014420000000001</v>
      </c>
      <c r="K28" s="194" t="s">
        <v>1330</v>
      </c>
      <c r="L28" s="197" t="e">
        <f>AND(K28="Y",K27="N",K26="N",I28="OK")*1</f>
        <v>#NAME?</v>
      </c>
      <c r="M28" s="196" t="e">
        <f t="shared" si="4"/>
        <v>#NAME?</v>
      </c>
      <c r="N28" s="142">
        <v>0</v>
      </c>
      <c r="O28" s="143">
        <v>0</v>
      </c>
      <c r="P28" s="144">
        <v>0</v>
      </c>
      <c r="Q28" s="143">
        <v>0</v>
      </c>
      <c r="R28" s="145">
        <v>1</v>
      </c>
      <c r="S28" s="117">
        <f>IF(D28="No match","N/A",F28-T28)</f>
        <v>1.9976580000000013</v>
      </c>
      <c r="T28" s="147">
        <v>36.002341999999999</v>
      </c>
      <c r="U28" s="147">
        <v>5</v>
      </c>
      <c r="V28" s="119" t="b">
        <f>D28=W28</f>
        <v>1</v>
      </c>
      <c r="W28" s="119" t="s">
        <v>1152</v>
      </c>
      <c r="X28" s="107" t="s">
        <v>1294</v>
      </c>
      <c r="Y28" s="120"/>
      <c r="Z28" s="120" t="s">
        <v>1251</v>
      </c>
      <c r="AA28" s="120" t="s">
        <v>57</v>
      </c>
      <c r="AB28" s="121">
        <v>51</v>
      </c>
      <c r="AD28" s="2">
        <v>3</v>
      </c>
      <c r="AE28" s="122" t="s">
        <v>1152</v>
      </c>
      <c r="AF28" s="122" t="s">
        <v>38</v>
      </c>
      <c r="AG28" s="123">
        <v>52</v>
      </c>
      <c r="AH28" s="2" t="b">
        <f>AE28=D28</f>
        <v>1</v>
      </c>
    </row>
    <row r="29" spans="1:34">
      <c r="A29" s="72"/>
      <c r="B29" s="72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07"/>
      <c r="Y29" s="127"/>
      <c r="Z29" s="127"/>
      <c r="AA29" s="127"/>
      <c r="AB29" s="128"/>
      <c r="AE29" s="107"/>
      <c r="AF29" s="107"/>
      <c r="AG29" s="119"/>
    </row>
    <row r="30" spans="1:34">
      <c r="A30" s="72"/>
      <c r="B30" s="72"/>
      <c r="C30" s="104" t="s">
        <v>1296</v>
      </c>
      <c r="D30" s="104"/>
      <c r="E30" s="104"/>
      <c r="F30" s="104"/>
      <c r="G30" s="104"/>
      <c r="J30" s="104"/>
      <c r="K30" s="106"/>
      <c r="L30" s="106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07"/>
      <c r="Y30" s="108"/>
      <c r="Z30" s="108"/>
      <c r="AA30" s="108"/>
      <c r="AB30" s="134"/>
      <c r="AD30" s="2" t="s">
        <v>1296</v>
      </c>
      <c r="AE30" s="135"/>
      <c r="AF30" s="135"/>
      <c r="AG30" s="136"/>
    </row>
    <row r="31" spans="1:34">
      <c r="A31" s="2" t="s">
        <v>1241</v>
      </c>
      <c r="B31" s="2">
        <v>1</v>
      </c>
      <c r="C31" s="137">
        <f>IF(J31=J32,"=1",1)</f>
        <v>1</v>
      </c>
      <c r="D31" s="138" t="s">
        <v>1156</v>
      </c>
      <c r="E31" s="138" t="s">
        <v>19</v>
      </c>
      <c r="F31" s="138">
        <v>43</v>
      </c>
      <c r="G31" s="138">
        <v>3</v>
      </c>
      <c r="H31" s="110" t="e">
        <f>IF(I31="No","Insufficient races",IF(I31="N/A","No runner",IF(C31="=1","Joint Winner",IF(C31="=2","Joint second","OK")))) &amp; " "&amp;IF(L31=1,"1st East Sussex","")</f>
        <v>#NAME?</v>
      </c>
      <c r="I31" s="110" t="e">
        <f>IF(D31="No Match","N/A",IF(G31&lt;G$3,"No","OK"))</f>
        <v>#NAME?</v>
      </c>
      <c r="J31" s="138">
        <v>43.016539999999999</v>
      </c>
      <c r="K31" s="194" t="s">
        <v>1330</v>
      </c>
      <c r="L31" s="195"/>
      <c r="M31" s="196" t="e">
        <f>IF(OR(D31="No match",I31="No"),"N/A",IF(R31=1,"OK",IF(X31="No qualifing runner","No prev","No")))</f>
        <v>#NAME?</v>
      </c>
      <c r="N31" s="142">
        <v>0</v>
      </c>
      <c r="O31" s="143">
        <v>0</v>
      </c>
      <c r="P31" s="144">
        <v>0</v>
      </c>
      <c r="Q31" s="143">
        <v>0</v>
      </c>
      <c r="R31" s="145">
        <v>1</v>
      </c>
      <c r="S31" s="117">
        <f>IF(D31="No match","N/A",F31-T31)</f>
        <v>14.010435999999999</v>
      </c>
      <c r="T31" s="147">
        <v>28.989564000000001</v>
      </c>
      <c r="U31" s="147">
        <v>3</v>
      </c>
      <c r="V31" s="119" t="b">
        <f>D31=W31</f>
        <v>0</v>
      </c>
      <c r="W31" s="119" t="s">
        <v>1161</v>
      </c>
      <c r="X31" s="107" t="s">
        <v>1297</v>
      </c>
      <c r="Y31" s="120"/>
      <c r="Z31" s="120" t="s">
        <v>1298</v>
      </c>
      <c r="AA31" s="120" t="s">
        <v>84</v>
      </c>
      <c r="AB31" s="121">
        <v>55</v>
      </c>
      <c r="AD31" s="2">
        <v>1</v>
      </c>
      <c r="AE31" s="122" t="s">
        <v>1156</v>
      </c>
      <c r="AF31" s="122" t="s">
        <v>19</v>
      </c>
      <c r="AG31" s="123">
        <v>59</v>
      </c>
      <c r="AH31" s="2" t="b">
        <f>AE31=D31</f>
        <v>1</v>
      </c>
    </row>
    <row r="32" spans="1:34">
      <c r="A32" s="2" t="s">
        <v>1242</v>
      </c>
      <c r="B32" s="2">
        <v>2</v>
      </c>
      <c r="C32" s="137">
        <f>IF(J32=J31,"=1",2)</f>
        <v>2</v>
      </c>
      <c r="D32" s="138" t="s">
        <v>1157</v>
      </c>
      <c r="E32" s="138" t="s">
        <v>19</v>
      </c>
      <c r="F32" s="138">
        <v>42</v>
      </c>
      <c r="G32" s="138">
        <v>3</v>
      </c>
      <c r="H32" s="110" t="e">
        <f>IF(I32="No","Insufficient races",IF(I32="N/A","No runner",IF(C32="=1","Joint Winner",IF(C32="=2","Joint second","OK")))) &amp; " "&amp;IF(L32=1,"1st East Sussex","")</f>
        <v>#NAME?</v>
      </c>
      <c r="I32" s="110" t="e">
        <f>IF(D32="No Match","N/A",IF(G32&lt;G$3,"No","OK"))</f>
        <v>#NAME?</v>
      </c>
      <c r="J32" s="138">
        <v>42.016530000000003</v>
      </c>
      <c r="K32" s="194" t="s">
        <v>1330</v>
      </c>
      <c r="L32" s="197" t="e">
        <f>AND(K32="Y",K31="N",I32="OK")*1</f>
        <v>#NAME?</v>
      </c>
      <c r="M32" s="196" t="e">
        <f t="shared" ref="M32:M33" si="5">IF(OR(D32="No match",I32="No"),"N/A",IF(R32=1,"OK",IF(X32="No qualifing runner","No prev","No")))</f>
        <v>#NAME?</v>
      </c>
      <c r="N32" s="142">
        <v>0</v>
      </c>
      <c r="O32" s="143">
        <v>0</v>
      </c>
      <c r="P32" s="144">
        <v>0</v>
      </c>
      <c r="Q32" s="143">
        <v>0</v>
      </c>
      <c r="R32" s="145">
        <v>1</v>
      </c>
      <c r="S32" s="117">
        <f>IF(D32="No match","N/A",F32-T32)</f>
        <v>13.010335999999999</v>
      </c>
      <c r="T32" s="147">
        <v>28.989664000000001</v>
      </c>
      <c r="U32" s="147">
        <v>3</v>
      </c>
      <c r="V32" s="119" t="b">
        <f>D32=W32</f>
        <v>0</v>
      </c>
      <c r="W32" s="119" t="s">
        <v>1160</v>
      </c>
      <c r="X32" s="107" t="s">
        <v>1299</v>
      </c>
      <c r="Y32" s="120"/>
      <c r="Z32" s="120" t="s">
        <v>1300</v>
      </c>
      <c r="AA32" s="120" t="s">
        <v>38</v>
      </c>
      <c r="AB32" s="121">
        <v>45</v>
      </c>
      <c r="AD32" s="2">
        <v>2</v>
      </c>
      <c r="AE32" s="122" t="s">
        <v>1157</v>
      </c>
      <c r="AF32" s="122" t="s">
        <v>38</v>
      </c>
      <c r="AG32" s="123">
        <v>58</v>
      </c>
      <c r="AH32" s="2" t="b">
        <f>AE32=D32</f>
        <v>1</v>
      </c>
    </row>
    <row r="33" spans="1:34">
      <c r="A33" s="2" t="s">
        <v>1243</v>
      </c>
      <c r="B33" s="2">
        <v>3</v>
      </c>
      <c r="C33" s="137">
        <f>IF(J33=J31,"=1",IF(18=J32,"=2",3))</f>
        <v>3</v>
      </c>
      <c r="D33" s="138" t="s">
        <v>1161</v>
      </c>
      <c r="E33" s="138" t="s">
        <v>19</v>
      </c>
      <c r="F33" s="138">
        <v>40</v>
      </c>
      <c r="G33" s="138">
        <v>4</v>
      </c>
      <c r="H33" s="110" t="e">
        <f>IF(I33="No","Insufficient races",IF(I33="N/A","No runner",IF(C33="=1","Joint Winner",IF(C33="=2","Joint second","OK")))) &amp; " "&amp;IF(L33=1,"1st East Sussex","")</f>
        <v>#NAME?</v>
      </c>
      <c r="I33" s="110" t="e">
        <f>IF(D33="No Match","N/A",IF(G33&lt;G$3,"No","OK"))</f>
        <v>#NAME?</v>
      </c>
      <c r="J33" s="138">
        <v>40.016419999999997</v>
      </c>
      <c r="K33" s="194" t="s">
        <v>1330</v>
      </c>
      <c r="L33" s="197" t="e">
        <f>AND(K33="Y",K32="N",K31="N",I33="OK")*1</f>
        <v>#NAME?</v>
      </c>
      <c r="M33" s="196" t="e">
        <f t="shared" si="5"/>
        <v>#NAME?</v>
      </c>
      <c r="N33" s="142">
        <v>0</v>
      </c>
      <c r="O33" s="143">
        <v>0</v>
      </c>
      <c r="P33" s="144">
        <v>0</v>
      </c>
      <c r="Q33" s="143">
        <v>0</v>
      </c>
      <c r="R33" s="145">
        <v>1</v>
      </c>
      <c r="S33" s="117">
        <f>IF(D33="No match","N/A",F33-T33)</f>
        <v>-4.5199999999994134E-3</v>
      </c>
      <c r="T33" s="147">
        <v>40.004519999999999</v>
      </c>
      <c r="U33" s="147">
        <v>4</v>
      </c>
      <c r="V33" s="119" t="b">
        <f>D33=W33</f>
        <v>0</v>
      </c>
      <c r="W33" s="119" t="s">
        <v>1244</v>
      </c>
      <c r="X33" s="107" t="s">
        <v>1299</v>
      </c>
      <c r="Y33" s="120"/>
      <c r="Z33" s="120" t="s">
        <v>1301</v>
      </c>
      <c r="AA33" s="120" t="s">
        <v>1113</v>
      </c>
      <c r="AB33" s="121">
        <v>27</v>
      </c>
      <c r="AD33" s="2">
        <v>3</v>
      </c>
      <c r="AE33" s="122" t="s">
        <v>1161</v>
      </c>
      <c r="AF33" s="122" t="s">
        <v>19</v>
      </c>
      <c r="AG33" s="123">
        <v>55</v>
      </c>
      <c r="AH33" s="2" t="b">
        <f>AE33=D33</f>
        <v>1</v>
      </c>
    </row>
    <row r="34" spans="1:34"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07"/>
      <c r="Y34" s="127"/>
      <c r="Z34" s="127"/>
      <c r="AA34" s="127"/>
      <c r="AB34" s="128"/>
      <c r="AE34" s="107"/>
      <c r="AF34" s="107"/>
      <c r="AG34" s="119"/>
    </row>
    <row r="35" spans="1:34">
      <c r="A35" s="72"/>
      <c r="B35" s="72"/>
      <c r="C35" s="104" t="s">
        <v>1302</v>
      </c>
      <c r="D35" s="104"/>
      <c r="E35" s="104"/>
      <c r="F35" s="104"/>
      <c r="G35" s="104"/>
      <c r="J35" s="104"/>
      <c r="K35" s="106"/>
      <c r="L35" s="106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07"/>
      <c r="Y35" s="108"/>
      <c r="Z35" s="108"/>
      <c r="AA35" s="108"/>
      <c r="AB35" s="134"/>
      <c r="AD35" s="2" t="s">
        <v>1302</v>
      </c>
      <c r="AE35" s="135"/>
      <c r="AF35" s="135"/>
      <c r="AG35" s="136"/>
    </row>
    <row r="36" spans="1:34">
      <c r="A36" s="2" t="s">
        <v>1249</v>
      </c>
      <c r="B36" s="2">
        <v>1</v>
      </c>
      <c r="C36" s="137" t="str">
        <f>IF(J36=J37,"=1",1)</f>
        <v>=1</v>
      </c>
      <c r="D36" s="138" t="s">
        <v>1248</v>
      </c>
      <c r="E36" s="138" t="s">
        <v>25</v>
      </c>
      <c r="F36" s="138">
        <v>15</v>
      </c>
      <c r="G36" s="138">
        <v>1</v>
      </c>
      <c r="H36" s="110" t="e">
        <f>IF(I36="No","Insufficient races",IF(I36="N/A","No runner",IF(C36="=1","Joint Winner",IF(C36="=2","Joint second","OK")))) &amp; " "&amp;IF(L36=1,"1st East Sussex","")</f>
        <v>#NAME?</v>
      </c>
      <c r="I36" s="110" t="e">
        <f>IF(D36="No Match","N/A",IF(G36&lt;G$3,"No","OK"))</f>
        <v>#NAME?</v>
      </c>
      <c r="J36" s="138">
        <v>15.015000000000001</v>
      </c>
      <c r="K36" s="194" t="s">
        <v>1330</v>
      </c>
      <c r="L36" s="195"/>
      <c r="M36" s="196" t="e">
        <f>IF(OR(D36="No match",I36="No"),"N/A",IF(R36=1,"OK",IF(X36="No qualifing runner","No prev","No")))</f>
        <v>#NAME?</v>
      </c>
      <c r="N36" s="142">
        <v>0</v>
      </c>
      <c r="O36" s="143">
        <v>0</v>
      </c>
      <c r="P36" s="144">
        <v>0</v>
      </c>
      <c r="Q36" s="143">
        <v>0</v>
      </c>
      <c r="R36" s="145">
        <v>1</v>
      </c>
      <c r="S36" s="117">
        <f>IF(D36="No match","N/A",F36-T36)</f>
        <v>-3.6000000000004917E-3</v>
      </c>
      <c r="T36" s="147">
        <v>15.0036</v>
      </c>
      <c r="U36" s="147">
        <v>1</v>
      </c>
      <c r="V36" s="119" t="b">
        <f>D36=W36</f>
        <v>1</v>
      </c>
      <c r="W36" s="119" t="s">
        <v>1248</v>
      </c>
      <c r="X36" s="107" t="s">
        <v>1303</v>
      </c>
      <c r="Y36" s="120"/>
      <c r="Z36" s="120" t="s">
        <v>1304</v>
      </c>
      <c r="AA36" s="120" t="s">
        <v>50</v>
      </c>
      <c r="AB36" s="121">
        <v>15</v>
      </c>
      <c r="AD36" s="2">
        <v>1</v>
      </c>
      <c r="AE36" s="122" t="s">
        <v>1248</v>
      </c>
      <c r="AF36" s="122" t="s">
        <v>201</v>
      </c>
      <c r="AG36" s="123">
        <v>60</v>
      </c>
      <c r="AH36" s="2" t="b">
        <f>AE36=D36</f>
        <v>1</v>
      </c>
    </row>
    <row r="37" spans="1:34">
      <c r="A37" s="2" t="s">
        <v>1250</v>
      </c>
      <c r="B37" s="2">
        <v>2</v>
      </c>
      <c r="C37" s="137" t="str">
        <f>IF(J37=J36,"=1",2)</f>
        <v>=1</v>
      </c>
      <c r="D37" s="138" t="s">
        <v>1251</v>
      </c>
      <c r="E37" s="138" t="s">
        <v>57</v>
      </c>
      <c r="F37" s="138">
        <v>15</v>
      </c>
      <c r="G37" s="138">
        <v>1</v>
      </c>
      <c r="H37" s="110" t="e">
        <f>IF(I37="No","Insufficient races",IF(I37="N/A","No runner",IF(C37="=1","Joint Winner",IF(C37="=2","Joint second","OK")))) &amp; " "&amp;IF(L37=1,"1st East Sussex","")</f>
        <v>#NAME?</v>
      </c>
      <c r="I37" s="110" t="e">
        <f>IF(D37="No Match","N/A",IF(G37&lt;G$3,"No","OK"))</f>
        <v>#NAME?</v>
      </c>
      <c r="J37" s="138">
        <v>15.015000000000001</v>
      </c>
      <c r="K37" s="194" t="s">
        <v>1330</v>
      </c>
      <c r="L37" s="197" t="e">
        <f>AND(K37="Y",K36="N",I37="OK")*1</f>
        <v>#NAME?</v>
      </c>
      <c r="M37" s="196" t="e">
        <f t="shared" ref="M37:M38" si="6">IF(OR(D37="No match",I37="No"),"N/A",IF(R37=1,"OK",IF(X37="No qualifing runner","No prev","No")))</f>
        <v>#NAME?</v>
      </c>
      <c r="N37" s="142">
        <v>0</v>
      </c>
      <c r="O37" s="143">
        <v>0</v>
      </c>
      <c r="P37" s="144">
        <v>0</v>
      </c>
      <c r="Q37" s="143">
        <v>0</v>
      </c>
      <c r="R37" s="145">
        <v>1</v>
      </c>
      <c r="S37" s="117">
        <f>IF(D37="No match","N/A",F37-T37)</f>
        <v>1.1350000000000193E-2</v>
      </c>
      <c r="T37" s="147">
        <v>14.98865</v>
      </c>
      <c r="U37" s="147">
        <v>1</v>
      </c>
      <c r="V37" s="119" t="b">
        <f>D37=W37</f>
        <v>1</v>
      </c>
      <c r="W37" s="119" t="s">
        <v>1251</v>
      </c>
      <c r="X37" s="107" t="s">
        <v>1303</v>
      </c>
      <c r="Y37" s="120"/>
      <c r="Z37" s="120" t="s">
        <v>1305</v>
      </c>
      <c r="AA37" s="120" t="s">
        <v>1305</v>
      </c>
      <c r="AB37" s="121" t="s">
        <v>1305</v>
      </c>
      <c r="AD37" s="2">
        <v>2</v>
      </c>
      <c r="AE37" s="122" t="s">
        <v>1251</v>
      </c>
      <c r="AF37" s="122" t="s">
        <v>57</v>
      </c>
      <c r="AG37" s="123">
        <v>58</v>
      </c>
      <c r="AH37" s="2" t="b">
        <f>AE37=D37</f>
        <v>1</v>
      </c>
    </row>
    <row r="38" spans="1:34">
      <c r="A38" s="2" t="s">
        <v>1306</v>
      </c>
      <c r="B38" s="2">
        <v>3</v>
      </c>
      <c r="C38" s="137">
        <f>IF(J38=J36,"=1",IF(18=J37,"=2",3))</f>
        <v>3</v>
      </c>
      <c r="D38" s="138" t="s">
        <v>1305</v>
      </c>
      <c r="E38" s="138" t="s">
        <v>1305</v>
      </c>
      <c r="F38" s="138" t="s">
        <v>1305</v>
      </c>
      <c r="G38" s="138" t="s">
        <v>1305</v>
      </c>
      <c r="H38" s="110" t="str">
        <f>IF(I38="No","Insufficient races",IF(I38="N/A","No runner",IF(C38="=1","Joint Winner",IF(C38="=2","Joint second","OK")))) &amp; " "&amp;IF(L38=1,"1st East Sussex","")</f>
        <v xml:space="preserve">No runner </v>
      </c>
      <c r="I38" s="110" t="str">
        <f>IF(D38="No Match","N/A",IF(G38&lt;G$3,"No","OK"))</f>
        <v>N/A</v>
      </c>
      <c r="J38" s="138" t="s">
        <v>1305</v>
      </c>
      <c r="K38" s="194" t="s">
        <v>1331</v>
      </c>
      <c r="L38" s="197">
        <f>AND(K38="Y",K37="N",K36="N",I38="OK")*1</f>
        <v>0</v>
      </c>
      <c r="M38" s="196" t="str">
        <f t="shared" si="6"/>
        <v>N/A</v>
      </c>
      <c r="N38" s="142">
        <v>0</v>
      </c>
      <c r="O38" s="143">
        <v>0</v>
      </c>
      <c r="P38" s="144">
        <v>0</v>
      </c>
      <c r="Q38" s="143">
        <v>0</v>
      </c>
      <c r="R38" s="145">
        <v>0</v>
      </c>
      <c r="S38" s="117" t="str">
        <f>IF(D38="No match","N/A",F38-T38)</f>
        <v>N/A</v>
      </c>
      <c r="T38" s="147" t="s">
        <v>1305</v>
      </c>
      <c r="U38" s="147" t="s">
        <v>1305</v>
      </c>
      <c r="V38" s="119" t="b">
        <f>D38=W38</f>
        <v>1</v>
      </c>
      <c r="W38" s="119" t="s">
        <v>1305</v>
      </c>
      <c r="X38" s="107" t="s">
        <v>1307</v>
      </c>
      <c r="Y38" s="120"/>
      <c r="Z38" s="120" t="s">
        <v>1305</v>
      </c>
      <c r="AA38" s="120" t="s">
        <v>1305</v>
      </c>
      <c r="AB38" s="121" t="s">
        <v>1305</v>
      </c>
      <c r="AD38" s="2">
        <v>3</v>
      </c>
      <c r="AE38" s="122" t="s">
        <v>1305</v>
      </c>
      <c r="AF38" s="122" t="s">
        <v>201</v>
      </c>
      <c r="AG38" s="123">
        <v>14</v>
      </c>
      <c r="AH38" s="2" t="b">
        <f>AE38=D38</f>
        <v>1</v>
      </c>
    </row>
    <row r="39" spans="1:34" collapsed="1"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07"/>
      <c r="Y39" s="127"/>
      <c r="Z39" s="127"/>
      <c r="AA39" s="127"/>
      <c r="AB39" s="128"/>
      <c r="AE39" s="107"/>
      <c r="AF39" s="107"/>
      <c r="AG39" s="119"/>
    </row>
    <row r="40" spans="1:34">
      <c r="A40" s="72"/>
      <c r="B40" s="72"/>
      <c r="C40" s="104" t="s">
        <v>1308</v>
      </c>
      <c r="D40" s="104"/>
      <c r="E40" s="104"/>
      <c r="F40" s="104"/>
      <c r="G40" s="104"/>
      <c r="I40" s="106"/>
      <c r="J40" s="104"/>
      <c r="K40" s="106"/>
      <c r="L40" s="106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07"/>
      <c r="Y40" s="108"/>
      <c r="Z40" s="108"/>
      <c r="AA40" s="108"/>
      <c r="AB40" s="134"/>
      <c r="AD40" s="1" t="s">
        <v>1308</v>
      </c>
      <c r="AE40" s="135"/>
      <c r="AF40" s="135"/>
      <c r="AG40" s="136"/>
    </row>
    <row r="41" spans="1:34">
      <c r="A41" s="2" t="s">
        <v>1252</v>
      </c>
      <c r="B41" s="2">
        <v>1</v>
      </c>
      <c r="C41" s="137">
        <f>IF(J41=J42,"=1",1)</f>
        <v>1</v>
      </c>
      <c r="D41" s="138" t="s">
        <v>1164</v>
      </c>
      <c r="E41" s="138" t="s">
        <v>19</v>
      </c>
      <c r="F41" s="138">
        <v>45</v>
      </c>
      <c r="G41" s="138">
        <v>5</v>
      </c>
      <c r="H41" s="110" t="e">
        <f>IF(I41="No","Insufficient races",IF(I41="N/A","No runner",IF(C41="=1","Joint Winner",IF(C41="=2","Joint second","OK")))) &amp; " "&amp;IF(L41=1,"1st East Sussex","")</f>
        <v>#NAME?</v>
      </c>
      <c r="I41" s="110" t="e">
        <f>IF(D41="No Match","N/A",IF(G41&lt;G$3,"No","OK"))</f>
        <v>#NAME?</v>
      </c>
      <c r="J41" s="138">
        <v>45.016649999999998</v>
      </c>
      <c r="K41" s="194" t="s">
        <v>1330</v>
      </c>
      <c r="L41" s="195"/>
      <c r="M41" s="196" t="e">
        <f>IF(OR(D41="No match",I41="No"),"N/A",IF(R41=1,"OK",IF(X41="No qualifing runner","No prev","No")))</f>
        <v>#NAME?</v>
      </c>
      <c r="N41" s="142">
        <v>0</v>
      </c>
      <c r="O41" s="143">
        <v>0</v>
      </c>
      <c r="P41" s="144">
        <v>0</v>
      </c>
      <c r="Q41" s="143">
        <v>0</v>
      </c>
      <c r="R41" s="145">
        <v>1</v>
      </c>
      <c r="S41" s="117">
        <f>IF(D41="No match","N/A",F41-T41)</f>
        <v>-4.7640000000015448E-3</v>
      </c>
      <c r="T41" s="147">
        <v>45.004764000000002</v>
      </c>
      <c r="U41" s="147">
        <v>5</v>
      </c>
      <c r="V41" s="119" t="b">
        <f>D41=W41</f>
        <v>1</v>
      </c>
      <c r="W41" s="119" t="s">
        <v>1164</v>
      </c>
      <c r="X41" s="107" t="s">
        <v>1164</v>
      </c>
      <c r="Y41" s="120"/>
      <c r="Z41" s="120" t="s">
        <v>1309</v>
      </c>
      <c r="AA41" s="120" t="s">
        <v>38</v>
      </c>
      <c r="AB41" s="121">
        <v>60</v>
      </c>
      <c r="AD41" s="2">
        <v>1</v>
      </c>
      <c r="AE41" s="122" t="s">
        <v>1164</v>
      </c>
      <c r="AF41" s="122" t="s">
        <v>1305</v>
      </c>
      <c r="AG41" s="123" t="s">
        <v>1305</v>
      </c>
      <c r="AH41" s="2" t="b">
        <f>AE41=D41</f>
        <v>1</v>
      </c>
    </row>
    <row r="42" spans="1:34">
      <c r="A42" s="2" t="s">
        <v>1254</v>
      </c>
      <c r="B42" s="2">
        <v>2</v>
      </c>
      <c r="C42" s="137">
        <f>IF(J42=J41,"=1",2)</f>
        <v>2</v>
      </c>
      <c r="D42" s="138" t="s">
        <v>1253</v>
      </c>
      <c r="E42" s="138" t="s">
        <v>61</v>
      </c>
      <c r="F42" s="138">
        <v>15</v>
      </c>
      <c r="G42" s="138">
        <v>1</v>
      </c>
      <c r="H42" s="110" t="e">
        <f>IF(I42="No","Insufficient races",IF(I42="N/A","No runner",IF(C42="=1","Joint Winner",IF(C42="=2","Joint second","OK")))) &amp; " "&amp;IF(L42=1,"1st East Sussex","")</f>
        <v>#NAME?</v>
      </c>
      <c r="I42" s="110" t="e">
        <f>IF(D42="No Match","N/A",IF(G42&lt;G$3,"No","OK"))</f>
        <v>#NAME?</v>
      </c>
      <c r="J42" s="138">
        <v>15.015000000000001</v>
      </c>
      <c r="K42" s="194" t="s">
        <v>1330</v>
      </c>
      <c r="L42" s="197" t="e">
        <f>AND(K42="Y",K41="N",I42="OK")*1</f>
        <v>#NAME?</v>
      </c>
      <c r="M42" s="196" t="e">
        <f t="shared" ref="M42:M43" si="7">IF(OR(D42="No match",I42="No"),"N/A",IF(R42=1,"OK",IF(X42="No qualifing runner","No prev","No")))</f>
        <v>#NAME?</v>
      </c>
      <c r="N42" s="142">
        <v>0</v>
      </c>
      <c r="O42" s="143">
        <v>0</v>
      </c>
      <c r="P42" s="144">
        <v>0</v>
      </c>
      <c r="Q42" s="143">
        <v>0</v>
      </c>
      <c r="R42" s="145">
        <v>1</v>
      </c>
      <c r="S42" s="117">
        <f>IF(D42="No match","N/A",F42-T42)</f>
        <v>1.1850000000000804E-2</v>
      </c>
      <c r="T42" s="147">
        <v>14.988149999999999</v>
      </c>
      <c r="U42" s="147">
        <v>1</v>
      </c>
      <c r="V42" s="119" t="b">
        <f>D42=W42</f>
        <v>1</v>
      </c>
      <c r="W42" s="119" t="s">
        <v>1253</v>
      </c>
      <c r="X42" s="107" t="s">
        <v>1253</v>
      </c>
      <c r="Y42" s="120"/>
      <c r="Z42" s="120" t="s">
        <v>1310</v>
      </c>
      <c r="AA42" s="120" t="s">
        <v>201</v>
      </c>
      <c r="AB42" s="121">
        <v>56</v>
      </c>
      <c r="AD42" s="2">
        <v>2</v>
      </c>
      <c r="AE42" s="122" t="s">
        <v>1253</v>
      </c>
      <c r="AF42" s="122" t="s">
        <v>1305</v>
      </c>
      <c r="AG42" s="123" t="s">
        <v>1305</v>
      </c>
      <c r="AH42" s="2" t="b">
        <f>AE42=D42</f>
        <v>1</v>
      </c>
    </row>
    <row r="43" spans="1:34">
      <c r="A43" s="2" t="s">
        <v>1311</v>
      </c>
      <c r="B43" s="2">
        <v>3</v>
      </c>
      <c r="C43" s="137">
        <f>IF(J43=J41,"=1",IF(18=J42,"=2",3))</f>
        <v>3</v>
      </c>
      <c r="D43" s="138" t="s">
        <v>1305</v>
      </c>
      <c r="E43" s="138" t="s">
        <v>1305</v>
      </c>
      <c r="F43" s="138" t="s">
        <v>1305</v>
      </c>
      <c r="G43" s="138" t="s">
        <v>1305</v>
      </c>
      <c r="H43" s="110" t="str">
        <f>IF(I43="No","Insufficient races",IF(I43="N/A","No runner",IF(C43="=1","Joint Winner",IF(C43="=2","Joint second","OK")))) &amp; " "&amp;IF(L43=1,"1st East Sussex","")</f>
        <v xml:space="preserve">No runner </v>
      </c>
      <c r="I43" s="110" t="str">
        <f>IF(D43="No Match","N/A",IF(G43&lt;G$3,"No","OK"))</f>
        <v>N/A</v>
      </c>
      <c r="J43" s="138" t="s">
        <v>1305</v>
      </c>
      <c r="K43" s="194" t="s">
        <v>1331</v>
      </c>
      <c r="L43" s="197">
        <f>AND(K43="Y",K42="N",K41="N",I43="OK")*1</f>
        <v>0</v>
      </c>
      <c r="M43" s="196" t="str">
        <f t="shared" si="7"/>
        <v>N/A</v>
      </c>
      <c r="N43" s="142">
        <v>0</v>
      </c>
      <c r="O43" s="143">
        <v>0</v>
      </c>
      <c r="P43" s="144">
        <v>0</v>
      </c>
      <c r="Q43" s="143">
        <v>0</v>
      </c>
      <c r="R43" s="145">
        <v>0</v>
      </c>
      <c r="S43" s="117" t="str">
        <f>IF(D43="No match","N/A",F43-T43)</f>
        <v>N/A</v>
      </c>
      <c r="T43" s="147" t="s">
        <v>1305</v>
      </c>
      <c r="U43" s="147" t="s">
        <v>1305</v>
      </c>
      <c r="V43" s="119" t="b">
        <f>D43=W43</f>
        <v>1</v>
      </c>
      <c r="W43" s="119" t="s">
        <v>1305</v>
      </c>
      <c r="X43" s="107" t="s">
        <v>1307</v>
      </c>
      <c r="Y43" s="120"/>
      <c r="Z43" s="120"/>
      <c r="AA43" s="120"/>
      <c r="AB43" s="121"/>
      <c r="AD43" s="2">
        <v>3</v>
      </c>
      <c r="AE43" s="122" t="s">
        <v>1305</v>
      </c>
      <c r="AF43" s="122" t="s">
        <v>1305</v>
      </c>
      <c r="AG43" s="123" t="s">
        <v>1305</v>
      </c>
      <c r="AH43" s="2" t="b">
        <f>AE43=D43</f>
        <v>1</v>
      </c>
    </row>
    <row r="44" spans="1:34" collapsed="1">
      <c r="F44" s="124"/>
      <c r="G44" s="124"/>
      <c r="I44" s="124"/>
      <c r="J44" s="124"/>
      <c r="K44" s="124"/>
      <c r="L44" s="124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07"/>
      <c r="Y44" s="127"/>
      <c r="Z44" s="127"/>
      <c r="AA44" s="127"/>
      <c r="AB44" s="128"/>
      <c r="AE44" s="107"/>
      <c r="AF44" s="107"/>
      <c r="AG44" s="119"/>
    </row>
    <row r="45" spans="1:34">
      <c r="C45" s="1" t="s">
        <v>1312</v>
      </c>
    </row>
    <row r="46" spans="1:34">
      <c r="C46" s="1" t="s">
        <v>1313</v>
      </c>
    </row>
    <row r="47" spans="1:34" ht="3" customHeight="1">
      <c r="C47" s="1"/>
    </row>
    <row r="48" spans="1:34">
      <c r="C48" s="1" t="e">
        <f>"Note 2: runners must have completed at least "&amp;G3&amp;" races to qualify for an award"</f>
        <v>#NAME?</v>
      </c>
    </row>
    <row r="49" spans="3:3" ht="3" customHeight="1">
      <c r="C49" s="1"/>
    </row>
    <row r="50" spans="3:3">
      <c r="C50" s="1" t="s">
        <v>1314</v>
      </c>
    </row>
    <row r="51" spans="3:3">
      <c r="C51" s="1" t="s">
        <v>1100</v>
      </c>
    </row>
    <row r="52" spans="3:3">
      <c r="C52" s="1" t="s">
        <v>1101</v>
      </c>
    </row>
    <row r="53" spans="3:3">
      <c r="C53" s="1" t="s">
        <v>1315</v>
      </c>
    </row>
    <row r="54" spans="3:3">
      <c r="C54" s="1" t="s">
        <v>1316</v>
      </c>
    </row>
    <row r="55" spans="3:3">
      <c r="C55" s="1" t="s">
        <v>1104</v>
      </c>
    </row>
  </sheetData>
  <conditionalFormatting sqref="M3:Q3 H11:H13 H16:H18 H21:H23 H31:H33 H36:H38 H6:H8 H26:H28 H41:H43 M6:Q8 M11:Q13 M16:Q18 M21:Q23 M26:Q28 M31:Q33 M36:Q38 M41:Q43">
    <cfRule type="containsText" dxfId="24" priority="27" operator="containsText" text="OK">
      <formula>NOT(ISERROR(SEARCH("OK",H3)))</formula>
    </cfRule>
  </conditionalFormatting>
  <conditionalFormatting sqref="N6:Q8 N11:Q13 N16:Q18 N21:Q23 N26:Q28 N31:Q33 N36:Q38 N41:Q43">
    <cfRule type="containsText" dxfId="23" priority="26" operator="containsText" text="Query">
      <formula>NOT(ISERROR(SEARCH("Query",N6)))</formula>
    </cfRule>
  </conditionalFormatting>
  <conditionalFormatting sqref="M6:M8 M11:M13 M16:M18 M21:M23 M26:M28 M31:M33 M36:M38 M41:M43">
    <cfRule type="containsText" dxfId="22" priority="24" operator="containsText" text="No prev">
      <formula>NOT(ISERROR(SEARCH("No prev",M6)))</formula>
    </cfRule>
    <cfRule type="containsText" dxfId="21" priority="25" operator="containsText" text="N/A">
      <formula>NOT(ISERROR(SEARCH("N/A",M6)))</formula>
    </cfRule>
  </conditionalFormatting>
  <conditionalFormatting sqref="N6:P8 N11:Q13 N16:Q18 N21:Q23 N26:Q28 N31:Q33 N36:Q38 N41:Q43">
    <cfRule type="cellIs" priority="23" operator="greaterThan">
      <formula>0</formula>
    </cfRule>
  </conditionalFormatting>
  <conditionalFormatting sqref="M3">
    <cfRule type="containsText" dxfId="20" priority="21" operator="containsText" text="Queries">
      <formula>NOT(ISERROR(SEARCH("Queries",M3)))</formula>
    </cfRule>
    <cfRule type="containsText" dxfId="19" priority="22" operator="containsText" text="OK">
      <formula>NOT(ISERROR(SEARCH("OK",M3)))</formula>
    </cfRule>
  </conditionalFormatting>
  <conditionalFormatting sqref="N6:Q8 N11:Q13 N16:Q18 N21:Q23 N26:Q28 N31:Q33 N36:Q38 N41:Q43">
    <cfRule type="cellIs" priority="19" operator="greaterThan">
      <formula>0</formula>
    </cfRule>
    <cfRule type="containsText" dxfId="18" priority="20" operator="containsText" text="OK">
      <formula>NOT(ISERROR(SEARCH("OK",N6)))</formula>
    </cfRule>
  </conditionalFormatting>
  <conditionalFormatting sqref="I6:I8">
    <cfRule type="containsText" dxfId="17" priority="18" operator="containsText" text="OK">
      <formula>NOT(ISERROR(SEARCH("OK",I6)))</formula>
    </cfRule>
  </conditionalFormatting>
  <conditionalFormatting sqref="I17:I18">
    <cfRule type="containsText" dxfId="16" priority="17" operator="containsText" text="OK">
      <formula>NOT(ISERROR(SEARCH("OK",I17)))</formula>
    </cfRule>
  </conditionalFormatting>
  <conditionalFormatting sqref="I7:I8">
    <cfRule type="containsText" dxfId="15" priority="16" operator="containsText" text="OK">
      <formula>NOT(ISERROR(SEARCH("OK",I7)))</formula>
    </cfRule>
  </conditionalFormatting>
  <conditionalFormatting sqref="I32:I33">
    <cfRule type="containsText" dxfId="14" priority="15" operator="containsText" text="OK">
      <formula>NOT(ISERROR(SEARCH("OK",I32)))</formula>
    </cfRule>
  </conditionalFormatting>
  <conditionalFormatting sqref="I27:I28">
    <cfRule type="containsText" dxfId="13" priority="14" operator="containsText" text="OK">
      <formula>NOT(ISERROR(SEARCH("OK",I27)))</formula>
    </cfRule>
  </conditionalFormatting>
  <conditionalFormatting sqref="I11:I13">
    <cfRule type="containsText" dxfId="12" priority="13" operator="containsText" text="OK">
      <formula>NOT(ISERROR(SEARCH("OK",I11)))</formula>
    </cfRule>
  </conditionalFormatting>
  <conditionalFormatting sqref="I12:I13">
    <cfRule type="containsText" dxfId="11" priority="12" operator="containsText" text="OK">
      <formula>NOT(ISERROR(SEARCH("OK",I12)))</formula>
    </cfRule>
  </conditionalFormatting>
  <conditionalFormatting sqref="I16:I18">
    <cfRule type="containsText" dxfId="10" priority="11" operator="containsText" text="OK">
      <formula>NOT(ISERROR(SEARCH("OK",I16)))</formula>
    </cfRule>
  </conditionalFormatting>
  <conditionalFormatting sqref="I21:I23">
    <cfRule type="containsText" dxfId="9" priority="10" operator="containsText" text="OK">
      <formula>NOT(ISERROR(SEARCH("OK",I21)))</formula>
    </cfRule>
  </conditionalFormatting>
  <conditionalFormatting sqref="I22:I23">
    <cfRule type="containsText" dxfId="8" priority="9" operator="containsText" text="OK">
      <formula>NOT(ISERROR(SEARCH("OK",I22)))</formula>
    </cfRule>
  </conditionalFormatting>
  <conditionalFormatting sqref="I26:I28">
    <cfRule type="containsText" dxfId="7" priority="8" operator="containsText" text="OK">
      <formula>NOT(ISERROR(SEARCH("OK",I26)))</formula>
    </cfRule>
  </conditionalFormatting>
  <conditionalFormatting sqref="I31:I33">
    <cfRule type="containsText" dxfId="6" priority="7" operator="containsText" text="OK">
      <formula>NOT(ISERROR(SEARCH("OK",I31)))</formula>
    </cfRule>
  </conditionalFormatting>
  <conditionalFormatting sqref="I36:I38">
    <cfRule type="containsText" dxfId="5" priority="6" operator="containsText" text="OK">
      <formula>NOT(ISERROR(SEARCH("OK",I36)))</formula>
    </cfRule>
  </conditionalFormatting>
  <conditionalFormatting sqref="I37:I38">
    <cfRule type="containsText" dxfId="4" priority="5" operator="containsText" text="OK">
      <formula>NOT(ISERROR(SEARCH("OK",I37)))</formula>
    </cfRule>
  </conditionalFormatting>
  <conditionalFormatting sqref="I41:I43">
    <cfRule type="containsText" dxfId="3" priority="4" operator="containsText" text="OK">
      <formula>NOT(ISERROR(SEARCH("OK",I41)))</formula>
    </cfRule>
  </conditionalFormatting>
  <conditionalFormatting sqref="I42:I43">
    <cfRule type="containsText" dxfId="2" priority="3" operator="containsText" text="OK">
      <formula>NOT(ISERROR(SEARCH("OK",I42)))</formula>
    </cfRule>
  </conditionalFormatting>
  <conditionalFormatting sqref="H6:H8 H11:H13 H16:H18 H21:H23 H26:H28 H31:H33 H36:H38 H41:H43">
    <cfRule type="containsText" dxfId="1" priority="2" operator="containsText" text="Joint">
      <formula>NOT(ISERROR(SEARCH("Joint",H6)))</formula>
    </cfRule>
  </conditionalFormatting>
  <conditionalFormatting sqref="H6:H8 H11:H13 H16:H18 H21:H23 H26:H28 H31:H33 H36:H38 H41:H43">
    <cfRule type="containsText" dxfId="0" priority="1" operator="containsText" text="1st">
      <formula>NOT(ISERROR(SEARCH("1st",H6)))</formula>
    </cfRule>
  </conditionalFormatting>
  <pageMargins left="0.39370078740157483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165</vt:i4>
      </vt:variant>
    </vt:vector>
  </HeadingPairs>
  <TitlesOfParts>
    <vt:vector size="173" baseType="lpstr">
      <vt:lpstr>Results Senior</vt:lpstr>
      <vt:lpstr>Cum Men</vt:lpstr>
      <vt:lpstr>cum Women</vt:lpstr>
      <vt:lpstr>Team Results</vt:lpstr>
      <vt:lpstr>Awards Senior</vt:lpstr>
      <vt:lpstr>Results Junior</vt:lpstr>
      <vt:lpstr>Cum Junior</vt:lpstr>
      <vt:lpstr>Awards Junior</vt:lpstr>
      <vt:lpstr>AwardsJuniorCurrent</vt:lpstr>
      <vt:lpstr>AwardsJuniorPreRacePredictionCol</vt:lpstr>
      <vt:lpstr>AwardsJuniorPrevRace</vt:lpstr>
      <vt:lpstr>AwardsJuniorRefCol</vt:lpstr>
      <vt:lpstr>AwardsSeniorCurrent</vt:lpstr>
      <vt:lpstr>AwardsSeniorPreRacePredictionCol</vt:lpstr>
      <vt:lpstr>AwardsSeniorPrevRace</vt:lpstr>
      <vt:lpstr>AwardsSeniorRefCol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CumJuniorFormulaPosition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CumMenFormulaPosition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CumWomenFormulaPosition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'Awards Junior'!Print_Area</vt:lpstr>
      <vt:lpstr>'Awards Senior'!Print_Area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'Awards Junior'!Print_Titles</vt:lpstr>
      <vt:lpstr>'Awards Senior'!Print_Titles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parkrun event</dc:creator>
  <cp:lastModifiedBy>parkrun event</cp:lastModifiedBy>
  <dcterms:created xsi:type="dcterms:W3CDTF">2024-03-15T21:11:48Z</dcterms:created>
  <dcterms:modified xsi:type="dcterms:W3CDTF">2024-03-15T21:11:53Z</dcterms:modified>
</cp:coreProperties>
</file>